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pintado\Administrativo\2021\Licitações\PR 02584 - Manutenção Predial\Planilhas de Custo - Cálculos Finais\"/>
    </mc:Choice>
  </mc:AlternateContent>
  <xr:revisionPtr revIDLastSave="0" documentId="8_{02F85ED0-BFE8-4D43-9C50-5516B2FBBE3A}" xr6:coauthVersionLast="46" xr6:coauthVersionMax="46" xr10:uidLastSave="{00000000-0000-0000-0000-000000000000}"/>
  <bookViews>
    <workbookView xWindow="-120" yWindow="-120" windowWidth="29040" windowHeight="15840" tabRatio="689" activeTab="1" xr2:uid="{00000000-000D-0000-FFFF-FFFF00000000}"/>
  </bookViews>
  <sheets>
    <sheet name="Oficial de Manutenção" sheetId="2" r:id="rId1"/>
    <sheet name="Técnico em Refrigeração" sheetId="9" r:id="rId2"/>
    <sheet name="Aux submod 2.3 -BENEFICIOS OM" sheetId="3" r:id="rId3"/>
    <sheet name="Aux submod 2.3 -BENEFICIOS TR" sheetId="10" r:id="rId4"/>
    <sheet name="aux mod 3- INSUMOS" sheetId="4" r:id="rId5"/>
    <sheet name="TABELA FPAS" sheetId="1" r:id="rId6"/>
    <sheet name=" IMPRESSÃO " sheetId="8" r:id="rId7"/>
  </sheets>
  <externalReferences>
    <externalReference r:id="rId8"/>
  </externalReferences>
  <definedNames>
    <definedName name="_xlnm.Print_Area" localSheetId="6">' IMPRESSÃO '!$A$1:$F$161</definedName>
    <definedName name="_xlnm.Print_Area" localSheetId="0">'Oficial de Manutenção'!$B$1:$G$132</definedName>
    <definedName name="CPT" localSheetId="6">#REF!</definedName>
    <definedName name="CPT">#REF!</definedName>
    <definedName name="Esquadrias_Externas" localSheetId="6">#REF!</definedName>
    <definedName name="Esquadrias_Externas">#REF!</definedName>
    <definedName name="Externa" localSheetId="6">#REF!</definedName>
    <definedName name="Externa">#REF!</definedName>
    <definedName name="Fachada_Envidraçada" localSheetId="6">#REF!</definedName>
    <definedName name="Fachada_Envidraçada">#REF!</definedName>
    <definedName name="Interna" localSheetId="6">#REF!</definedName>
    <definedName name="Interna">#REF!</definedName>
    <definedName name="INTERNN">#REF!</definedName>
    <definedName name="Percentuais" localSheetId="6">' IMPRESSÃO '!#REF!</definedName>
    <definedName name="Percentuais" localSheetId="0">'Oficial de Manutenção'!#REF!</definedName>
    <definedName name="Print_Area_0" localSheetId="6">' IMPRESSÃO '!$A$1:$F$161</definedName>
    <definedName name="Print_Area_0" localSheetId="0">'Oficial de Manutenção'!$B$1:$G$132</definedName>
    <definedName name="Regime" localSheetId="6">' IMPRESSÃO '!#REF!</definedName>
    <definedName name="Regime" localSheetId="0">'Oficial de Manutenção'!#REF!</definedName>
    <definedName name="Tarefas" localSheetId="6">#REF!</definedName>
    <definedName name="Tarefas">#REF!</definedName>
  </definedNames>
  <calcPr calcId="181029"/>
</workbook>
</file>

<file path=xl/calcChain.xml><?xml version="1.0" encoding="utf-8"?>
<calcChain xmlns="http://schemas.openxmlformats.org/spreadsheetml/2006/main">
  <c r="G34" i="4" l="1"/>
  <c r="D33" i="4"/>
  <c r="D34" i="4"/>
  <c r="G33" i="4"/>
  <c r="G35" i="4"/>
  <c r="G36" i="4"/>
  <c r="G60" i="9"/>
  <c r="G21" i="10"/>
  <c r="G20" i="10"/>
  <c r="G18" i="10"/>
  <c r="G16" i="10"/>
  <c r="F15" i="10"/>
  <c r="G13" i="10" s="1"/>
  <c r="F4" i="10"/>
  <c r="I23" i="9"/>
  <c r="I24" i="9"/>
  <c r="I28" i="9"/>
  <c r="E155" i="9"/>
  <c r="J143" i="9"/>
  <c r="F137" i="9"/>
  <c r="G114" i="9"/>
  <c r="H110" i="9"/>
  <c r="H111" i="9" s="1"/>
  <c r="F100" i="9"/>
  <c r="F98" i="9"/>
  <c r="F97" i="9"/>
  <c r="F96" i="9"/>
  <c r="F95" i="9"/>
  <c r="F94" i="9"/>
  <c r="F93" i="9"/>
  <c r="H87" i="9"/>
  <c r="F84" i="9"/>
  <c r="F82" i="9"/>
  <c r="F86" i="9" s="1"/>
  <c r="F78" i="9"/>
  <c r="F80" i="9" s="1"/>
  <c r="F51" i="9"/>
  <c r="F53" i="9" s="1"/>
  <c r="F36" i="9"/>
  <c r="F35" i="9"/>
  <c r="F23" i="9"/>
  <c r="F24" i="9" s="1"/>
  <c r="D26" i="9" s="1"/>
  <c r="G20" i="9"/>
  <c r="G21" i="9" s="1"/>
  <c r="G17" i="9"/>
  <c r="I17" i="9" s="1"/>
  <c r="I18" i="9" s="1"/>
  <c r="F20" i="9" s="1"/>
  <c r="F17" i="9"/>
  <c r="G12" i="4"/>
  <c r="G13" i="4"/>
  <c r="G14" i="4"/>
  <c r="G15" i="4"/>
  <c r="G16" i="4"/>
  <c r="G17" i="4"/>
  <c r="G18" i="4"/>
  <c r="G19" i="4"/>
  <c r="G20" i="4"/>
  <c r="G21" i="4"/>
  <c r="G22" i="4"/>
  <c r="G11" i="4"/>
  <c r="G31" i="4"/>
  <c r="G27" i="4"/>
  <c r="D32" i="4"/>
  <c r="G32" i="4" s="1"/>
  <c r="D30" i="4"/>
  <c r="G30" i="4" s="1"/>
  <c r="D29" i="4"/>
  <c r="G29" i="4" s="1"/>
  <c r="D28" i="4"/>
  <c r="G28" i="4" s="1"/>
  <c r="F39" i="9" l="1"/>
  <c r="C23" i="9"/>
  <c r="F26" i="9"/>
  <c r="F81" i="9"/>
  <c r="F88" i="9" s="1"/>
  <c r="G26" i="9" l="1"/>
  <c r="E23" i="9"/>
  <c r="G22" i="9" s="1"/>
  <c r="G30" i="9" s="1"/>
  <c r="E25" i="9"/>
  <c r="G86" i="9" l="1"/>
  <c r="G49" i="9"/>
  <c r="G126" i="9"/>
  <c r="G81" i="9"/>
  <c r="G48" i="9"/>
  <c r="G38" i="9"/>
  <c r="G85" i="9"/>
  <c r="G47" i="9"/>
  <c r="G51" i="9"/>
  <c r="G46" i="9"/>
  <c r="G52" i="9"/>
  <c r="G84" i="9"/>
  <c r="G80" i="9"/>
  <c r="G45" i="9"/>
  <c r="G93" i="9"/>
  <c r="G87" i="9"/>
  <c r="G82" i="9"/>
  <c r="G78" i="9"/>
  <c r="G50" i="9"/>
  <c r="G36" i="9"/>
  <c r="G35" i="9"/>
  <c r="G39" i="9" l="1"/>
  <c r="G71" i="9" s="1"/>
  <c r="G92" i="9"/>
  <c r="G53" i="9"/>
  <c r="G72" i="9" s="1"/>
  <c r="G148" i="9"/>
  <c r="G88" i="9"/>
  <c r="G128" i="9" s="1"/>
  <c r="G150" i="9" s="1"/>
  <c r="G99" i="9" l="1"/>
  <c r="G98" i="9"/>
  <c r="G95" i="9"/>
  <c r="G102" i="9"/>
  <c r="G97" i="9"/>
  <c r="G94" i="9"/>
  <c r="G101" i="9"/>
  <c r="G100" i="9"/>
  <c r="G96" i="9"/>
  <c r="G103" i="9" l="1"/>
  <c r="G104" i="9" l="1"/>
  <c r="G105" i="9" s="1"/>
  <c r="G113" i="9" l="1"/>
  <c r="G115" i="9" s="1"/>
  <c r="G129" i="9" s="1"/>
  <c r="G151" i="9" s="1"/>
  <c r="F23" i="2" l="1"/>
  <c r="I23" i="2"/>
  <c r="H110" i="2" l="1"/>
  <c r="H87" i="2"/>
  <c r="F137" i="2"/>
  <c r="G16" i="3" l="1"/>
  <c r="G61" i="9" l="1"/>
  <c r="G61" i="2"/>
  <c r="F100" i="2"/>
  <c r="F94" i="2"/>
  <c r="F93" i="2"/>
  <c r="F36" i="2"/>
  <c r="F84" i="2"/>
  <c r="F78" i="2"/>
  <c r="F80" i="2" s="1"/>
  <c r="F81" i="2" s="1"/>
  <c r="F82" i="2"/>
  <c r="F35" i="2" l="1"/>
  <c r="G17" i="2"/>
  <c r="I17" i="2" s="1"/>
  <c r="I18" i="2" s="1"/>
  <c r="F20" i="2" s="1"/>
  <c r="F17" i="2"/>
  <c r="I28" i="2"/>
  <c r="I24" i="2"/>
  <c r="F51" i="2" l="1"/>
  <c r="D158" i="8" l="1"/>
  <c r="D153" i="8"/>
  <c r="D151" i="8"/>
  <c r="E130" i="8"/>
  <c r="E91" i="8"/>
  <c r="E89" i="8"/>
  <c r="E88" i="8"/>
  <c r="E87" i="8"/>
  <c r="E86" i="8"/>
  <c r="E85" i="8"/>
  <c r="E73" i="8"/>
  <c r="E74" i="8" s="1"/>
  <c r="E45" i="8"/>
  <c r="E47" i="8" s="1"/>
  <c r="F33" i="8"/>
  <c r="E32" i="8"/>
  <c r="E33" i="8" s="1"/>
  <c r="G37" i="4"/>
  <c r="G5" i="4"/>
  <c r="C5" i="4"/>
  <c r="G4" i="4"/>
  <c r="E4" i="4"/>
  <c r="G21" i="3"/>
  <c r="G65" i="9" s="1"/>
  <c r="G20" i="3"/>
  <c r="F15" i="3"/>
  <c r="G13" i="3" s="1"/>
  <c r="G60" i="2" s="1"/>
  <c r="F4" i="3"/>
  <c r="E4" i="3"/>
  <c r="E155" i="2"/>
  <c r="F98" i="2"/>
  <c r="F97" i="2"/>
  <c r="F96" i="2"/>
  <c r="F95" i="2"/>
  <c r="F53" i="2"/>
  <c r="F86" i="2" s="1"/>
  <c r="F39" i="2"/>
  <c r="F24" i="2"/>
  <c r="D26" i="2" s="1"/>
  <c r="F26" i="2" s="1"/>
  <c r="G20" i="2"/>
  <c r="G28" i="1"/>
  <c r="G65" i="2" l="1"/>
  <c r="G63" i="2"/>
  <c r="G63" i="9"/>
  <c r="G21" i="2"/>
  <c r="C23" i="2" s="1"/>
  <c r="E23" i="2" s="1"/>
  <c r="F8" i="10"/>
  <c r="F12" i="10" s="1"/>
  <c r="G10" i="10" s="1"/>
  <c r="G23" i="10" s="1"/>
  <c r="F8" i="3"/>
  <c r="G23" i="4"/>
  <c r="F88" i="2"/>
  <c r="E97" i="8"/>
  <c r="E98" i="8" s="1"/>
  <c r="E76" i="8"/>
  <c r="E79" i="8" s="1"/>
  <c r="G119" i="2" l="1"/>
  <c r="G119" i="9"/>
  <c r="G122" i="9" s="1"/>
  <c r="G130" i="9" s="1"/>
  <c r="F12" i="3"/>
  <c r="G10" i="3" s="1"/>
  <c r="G26" i="2"/>
  <c r="G22" i="2"/>
  <c r="E25" i="2"/>
  <c r="G18" i="3"/>
  <c r="G62" i="2" s="1"/>
  <c r="G59" i="2" l="1"/>
  <c r="G59" i="9"/>
  <c r="G66" i="9" s="1"/>
  <c r="G73" i="9" s="1"/>
  <c r="G74" i="9" s="1"/>
  <c r="G127" i="9" s="1"/>
  <c r="G149" i="9" s="1"/>
  <c r="G152" i="9"/>
  <c r="G66" i="2"/>
  <c r="G73" i="2" s="1"/>
  <c r="G23" i="3"/>
  <c r="G30" i="2"/>
  <c r="G131" i="9" l="1"/>
  <c r="G136" i="9" s="1"/>
  <c r="G135" i="9"/>
  <c r="G81" i="2"/>
  <c r="G80" i="2"/>
  <c r="G86" i="2"/>
  <c r="G93" i="2"/>
  <c r="G78" i="2"/>
  <c r="G84" i="2"/>
  <c r="G85" i="2"/>
  <c r="G35" i="2"/>
  <c r="G36" i="2"/>
  <c r="G50" i="2"/>
  <c r="G52" i="2"/>
  <c r="G87" i="2"/>
  <c r="G47" i="2"/>
  <c r="G46" i="2"/>
  <c r="G49" i="2"/>
  <c r="G126" i="2"/>
  <c r="G148" i="2" s="1"/>
  <c r="G82" i="2"/>
  <c r="G38" i="2"/>
  <c r="G45" i="2"/>
  <c r="G51" i="2"/>
  <c r="G48" i="2"/>
  <c r="G137" i="9" l="1"/>
  <c r="G142" i="9" s="1"/>
  <c r="G153" i="9" s="1"/>
  <c r="G154" i="9" s="1"/>
  <c r="G92" i="2"/>
  <c r="G88" i="2"/>
  <c r="G128" i="2" s="1"/>
  <c r="G150" i="2" s="1"/>
  <c r="G53" i="2"/>
  <c r="G72" i="2" s="1"/>
  <c r="G39" i="2"/>
  <c r="G71" i="2" s="1"/>
  <c r="G74" i="2" l="1"/>
  <c r="G127" i="2" s="1"/>
  <c r="G149" i="2" s="1"/>
  <c r="G98" i="2"/>
  <c r="G94" i="2"/>
  <c r="G96" i="2"/>
  <c r="G100" i="2"/>
  <c r="G99" i="2"/>
  <c r="G97" i="2"/>
  <c r="G101" i="2"/>
  <c r="G95" i="2"/>
  <c r="G102" i="2"/>
  <c r="G103" i="2" l="1"/>
  <c r="G104" i="2" l="1"/>
  <c r="G105" i="2"/>
  <c r="G113" i="2" s="1"/>
  <c r="G122" i="2"/>
  <c r="H111" i="2" l="1"/>
  <c r="G130" i="2"/>
  <c r="G114" i="2" l="1"/>
  <c r="G115" i="2" s="1"/>
  <c r="G129" i="2" s="1"/>
  <c r="G151" i="2" s="1"/>
  <c r="G152" i="2"/>
  <c r="G131" i="2" l="1"/>
  <c r="G136" i="2" s="1"/>
  <c r="G135" i="2" l="1"/>
  <c r="J143" i="2" s="1"/>
  <c r="G137" i="2" l="1"/>
  <c r="G142" i="2" s="1"/>
  <c r="G153" i="2" s="1"/>
  <c r="G154" i="2" s="1"/>
</calcChain>
</file>

<file path=xl/sharedStrings.xml><?xml version="1.0" encoding="utf-8"?>
<sst xmlns="http://schemas.openxmlformats.org/spreadsheetml/2006/main" count="1267" uniqueCount="328">
  <si>
    <t>Tabela FPAS (Aliquotas %)</t>
  </si>
  <si>
    <t>CÓDIGO DO FPAS</t>
  </si>
  <si>
    <t>Prev. Social</t>
  </si>
  <si>
    <t>GIIL-RAT</t>
  </si>
  <si>
    <t>Salário- Educação</t>
  </si>
  <si>
    <t>INCRA</t>
  </si>
  <si>
    <t>SENAI</t>
  </si>
  <si>
    <t>SESI</t>
  </si>
  <si>
    <t>SENAC</t>
  </si>
  <si>
    <t>SESC</t>
  </si>
  <si>
    <t>SEBRAE</t>
  </si>
  <si>
    <t>DPC</t>
  </si>
  <si>
    <t>Fundo Aeroviário</t>
  </si>
  <si>
    <t>SENAR</t>
  </si>
  <si>
    <t>SEST</t>
  </si>
  <si>
    <t>SENAT</t>
  </si>
  <si>
    <t>SESCOOP</t>
  </si>
  <si>
    <t>Total Outras Ent. Ou Fundos</t>
  </si>
  <si>
    <t>---</t>
  </si>
  <si>
    <t>Variável</t>
  </si>
  <si>
    <t>507 Cooperativa</t>
  </si>
  <si>
    <t>515 Cooperativa</t>
  </si>
  <si>
    <t>566 Cooperativa</t>
  </si>
  <si>
    <t>574 Cooperativa</t>
  </si>
  <si>
    <t>612 Cooperativa</t>
  </si>
  <si>
    <t>744 Seg. Especial</t>
  </si>
  <si>
    <t>744 Pessoa Física</t>
  </si>
  <si>
    <t>744 Pes. Jurídica</t>
  </si>
  <si>
    <t>744 Agroindústria</t>
  </si>
  <si>
    <t>787 Cooperativa</t>
  </si>
  <si>
    <t>795 Cooperativa</t>
  </si>
  <si>
    <t>Clique para acessar: http://www.receita.fazenda.gov.br/publico/Previdencia/GFIP/03%20-%20anexo_III.doc</t>
  </si>
  <si>
    <t xml:space="preserve"> PLANILHA DE CUSTOS E FORMAÇÃO DO PREÇO </t>
  </si>
  <si>
    <t>EMPRESA:</t>
  </si>
  <si>
    <t>Licitação nº:</t>
  </si>
  <si>
    <t>Dia ____/______/_______ às _____:______horas</t>
  </si>
  <si>
    <t>OBJETO DA LICITAÇÃO:</t>
  </si>
  <si>
    <t>Data apresentação Proposta:</t>
  </si>
  <si>
    <t>______/_________/_______</t>
  </si>
  <si>
    <r>
      <rPr>
        <b/>
        <sz val="9"/>
        <rFont val="Arial"/>
        <family val="2"/>
        <charset val="1"/>
      </rPr>
      <t>Regime Tributário da Empresa: _________________</t>
    </r>
    <r>
      <rPr>
        <sz val="10"/>
        <rFont val="Arial"/>
        <family val="2"/>
        <charset val="1"/>
      </rPr>
      <t xml:space="preserve"> (se lucro real, lucro presumido ou Simples Nacional)</t>
    </r>
  </si>
  <si>
    <r>
      <rPr>
        <b/>
        <sz val="9"/>
        <rFont val="Arial"/>
        <family val="2"/>
        <charset val="1"/>
      </rPr>
      <t>Valor do Enquadramento: _____________________</t>
    </r>
    <r>
      <rPr>
        <sz val="10"/>
        <rFont val="Arial"/>
        <family val="2"/>
        <charset val="1"/>
      </rPr>
      <t xml:space="preserve"> ( da receita bruta acumulada nos 12 (doze) meses anteriores ao período de apuração para fins de determinação da alíquota, conforme art. 18 da LC 123/206)</t>
    </r>
  </si>
  <si>
    <t>DISCRIMINAÇÃO DOS SERVIÇOS - DADOS REFERENTES À CONTRATAÇÃO</t>
  </si>
  <si>
    <t>Tipo de Serviço</t>
  </si>
  <si>
    <t>Classificação Brasileira de Ocupações (CBO)</t>
  </si>
  <si>
    <t xml:space="preserve">Número de  Meses da execução contratual </t>
  </si>
  <si>
    <r>
      <rPr>
        <sz val="10"/>
        <rFont val="Arial"/>
        <family val="2"/>
        <charset val="1"/>
      </rPr>
      <t>Categoria Profissional/</t>
    </r>
    <r>
      <rPr>
        <b/>
        <sz val="10"/>
        <rFont val="Arial"/>
        <family val="2"/>
        <charset val="1"/>
      </rPr>
      <t xml:space="preserve"> Convenção Coletiva</t>
    </r>
  </si>
  <si>
    <t>Data base da categoria</t>
  </si>
  <si>
    <t xml:space="preserve">Categoria do empregado </t>
  </si>
  <si>
    <t>Valor do salário normativo da Categoria</t>
  </si>
  <si>
    <t>Módulo 1: Composição da remuneração</t>
  </si>
  <si>
    <t>Composição da remuneração</t>
  </si>
  <si>
    <t>Valor (R$)</t>
  </si>
  <si>
    <t>A</t>
  </si>
  <si>
    <t>Salário Base</t>
  </si>
  <si>
    <t>Dias  trabalho-mês</t>
  </si>
  <si>
    <t>até 220 horas mensais, valor mínimo</t>
  </si>
  <si>
    <t>B</t>
  </si>
  <si>
    <t xml:space="preserve">Adicional de periculosidade ou Insalubridade </t>
  </si>
  <si>
    <t>C</t>
  </si>
  <si>
    <t>Adicional noturno</t>
  </si>
  <si>
    <t>Fator de correção</t>
  </si>
  <si>
    <t>Valor da hora normal</t>
  </si>
  <si>
    <t>Valor adicional noturno (1h)</t>
  </si>
  <si>
    <t>Horário Noturno: 22:00-05:00</t>
  </si>
  <si>
    <t>Horas relógio:</t>
  </si>
  <si>
    <t>Horas noturnas:</t>
  </si>
  <si>
    <t>Vr.  hora normal  not</t>
  </si>
  <si>
    <t>Hora extra (60%)</t>
  </si>
  <si>
    <t>D</t>
  </si>
  <si>
    <t>Hora noturna reduzida</t>
  </si>
  <si>
    <t>H N reduz p/ dia:</t>
  </si>
  <si>
    <t>Horas not red/mês:</t>
  </si>
  <si>
    <t>E</t>
  </si>
  <si>
    <t xml:space="preserve">Intervalo Intrajornada  laborado </t>
  </si>
  <si>
    <t>F</t>
  </si>
  <si>
    <t>Descanso semanal remunerado</t>
  </si>
  <si>
    <t>G</t>
  </si>
  <si>
    <t>Outros ( especificar)</t>
  </si>
  <si>
    <t>Total da Remuneração</t>
  </si>
  <si>
    <r>
      <rPr>
        <b/>
        <sz val="7"/>
        <color rgb="FF000000"/>
        <rFont val="Calibri"/>
        <family val="2"/>
        <charset val="1"/>
      </rPr>
      <t>Nota:</t>
    </r>
    <r>
      <rPr>
        <sz val="7"/>
        <color rgb="FF000000"/>
        <rFont val="Calibri"/>
        <family val="2"/>
        <charset val="1"/>
      </rPr>
      <t xml:space="preserve"> O Mód 1 refere-se ao valor mensal devido ao empregado pela prestação do serviço no período de 12 meses</t>
    </r>
  </si>
  <si>
    <t>Módulo 2 - Encargos e Benefícios Anuais, Mensais e Diários</t>
  </si>
  <si>
    <t>Submódulo 2.1 - 13º (décimo terceiro) Salário, Férias e Adicional de Férias</t>
  </si>
  <si>
    <t>Valor(R$)</t>
  </si>
  <si>
    <t>13º ( décimo terceiro salário)</t>
  </si>
  <si>
    <t>Férias e Adicional de Férias</t>
  </si>
  <si>
    <t>Incidência dos encargos previstos no Submódulo 2.2 sobre 13º salário e Férias</t>
  </si>
  <si>
    <t>Total</t>
  </si>
  <si>
    <r>
      <rPr>
        <b/>
        <sz val="7"/>
        <color rgb="FF000000"/>
        <rFont val="Calibri"/>
        <family val="2"/>
        <charset val="1"/>
      </rPr>
      <t>Nota 1:</t>
    </r>
    <r>
      <rPr>
        <sz val="7"/>
        <color rgb="FF000000"/>
        <rFont val="Calibri"/>
        <family val="2"/>
        <charset val="1"/>
      </rPr>
      <t xml:space="preserve"> Como a planilha de custos e formação de preços é calculada mensalmente, provisiona-se proporcionalmente 1/12 (um doze avos) dos valores referentes a gratificação natalina, férias e adicional de férias.</t>
    </r>
  </si>
  <si>
    <r>
      <rPr>
        <b/>
        <sz val="7"/>
        <rFont val="Calibri"/>
        <family val="2"/>
        <charset val="1"/>
      </rPr>
      <t>Nota 2:</t>
    </r>
    <r>
      <rPr>
        <sz val="7"/>
        <rFont val="Calibri"/>
        <family val="2"/>
        <charset val="1"/>
      </rPr>
      <t xml:space="preserve"> O adicional de férias contido no Submódulo 2.1 corresponde a 1/3 (um terço) da remuneração que por sua vez é divido por 12 (doze) conforme Nota 1 acima</t>
    </r>
  </si>
  <si>
    <r>
      <rPr>
        <b/>
        <sz val="7"/>
        <color rgb="FF000000"/>
        <rFont val="Calibri"/>
        <family val="2"/>
        <charset val="1"/>
      </rPr>
      <t>Nota 3:</t>
    </r>
    <r>
      <rPr>
        <sz val="7"/>
        <color rgb="FF000000"/>
        <rFont val="Calibri"/>
        <family val="2"/>
        <charset val="1"/>
      </rPr>
      <t xml:space="preserve">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</t>
    </r>
  </si>
  <si>
    <t>Submódulo 2.2 - Encargos Previdenciários (GPS), Fundo de Garantia por Tempo de</t>
  </si>
  <si>
    <t>Percentual(%)</t>
  </si>
  <si>
    <t>INSS ( art 22, inc I Lei 8.212/91)</t>
  </si>
  <si>
    <t>SESI OU SESC (art 30 Lei 8.036/90)</t>
  </si>
  <si>
    <t xml:space="preserve">SENAI OU SENAC (art  30 Dec Lei  2.318/86) </t>
  </si>
  <si>
    <t>INCRA (art 1 e 2 Decr Lei 1146/70)</t>
  </si>
  <si>
    <t>Salário educação (art. 15, da Lei nº 9.424/96; do art. 2º do Decr 3.142/99; e art. 212, § 5º da CF)</t>
  </si>
  <si>
    <t>FGTS (art 15 Lei nº 8.030/90)</t>
  </si>
  <si>
    <t xml:space="preserve">RAT (Art. 22, inc. II, Lei 8212/91 e art 10 L 10.666/03) </t>
  </si>
  <si>
    <t>FAP</t>
  </si>
  <si>
    <t>H</t>
  </si>
  <si>
    <t>SEBRAE ( Lei 8029/90)</t>
  </si>
  <si>
    <r>
      <rPr>
        <b/>
        <sz val="7"/>
        <rFont val="Calibri"/>
        <family val="2"/>
        <charset val="1"/>
      </rPr>
      <t>Nota 1:</t>
    </r>
    <r>
      <rPr>
        <sz val="7"/>
        <rFont val="Calibri"/>
        <family val="2"/>
        <charset val="1"/>
      </rPr>
      <t xml:space="preserve"> Os percentuais dos encargos previdenciários, do FGTS e demais contribuições são aqueles estabelecidos pela legislação vigente.</t>
    </r>
  </si>
  <si>
    <r>
      <rPr>
        <b/>
        <sz val="7"/>
        <rFont val="Calibri"/>
        <family val="2"/>
        <charset val="1"/>
      </rPr>
      <t>Nota 2:</t>
    </r>
    <r>
      <rPr>
        <sz val="7"/>
        <rFont val="Calibri"/>
        <family val="2"/>
        <charset val="1"/>
      </rPr>
      <t xml:space="preserve"> O SAT a depender do grau de risco do serviço irá variar entre 1%, para risco leve, de 2%, para risco médio, e de 3% de risco grave.</t>
    </r>
  </si>
  <si>
    <r>
      <rPr>
        <b/>
        <sz val="7"/>
        <color rgb="FF000000"/>
        <rFont val="Calibri"/>
        <family val="2"/>
        <charset val="1"/>
      </rPr>
      <t>Nota 3:</t>
    </r>
    <r>
      <rPr>
        <sz val="7"/>
        <color rgb="FF000000"/>
        <rFont val="Calibri"/>
        <family val="2"/>
        <charset val="1"/>
      </rPr>
      <t xml:space="preserve"> Esses percentuais incidem sobre o Módulo 1 e o Submódulo 2.1.</t>
    </r>
  </si>
  <si>
    <t>Submódulo 2.3 - Benefícios Mensais e Diários.</t>
  </si>
  <si>
    <t>Vale transporte</t>
  </si>
  <si>
    <t>Auxílio alimentação</t>
  </si>
  <si>
    <t>Cesta básica</t>
  </si>
  <si>
    <t>Seguro de vida em grupo</t>
  </si>
  <si>
    <t>D'</t>
  </si>
  <si>
    <t>Auxílio Funeral</t>
  </si>
  <si>
    <t xml:space="preserve">Plano de saúde e Assistência </t>
  </si>
  <si>
    <t>Assistência Médica Hospitalar</t>
  </si>
  <si>
    <t>Total de Benefícios mensais e diários</t>
  </si>
  <si>
    <r>
      <rPr>
        <b/>
        <sz val="7"/>
        <rFont val="Calibri"/>
        <family val="2"/>
        <charset val="1"/>
      </rPr>
      <t>Nota 1:</t>
    </r>
    <r>
      <rPr>
        <sz val="7"/>
        <rFont val="Calibri"/>
        <family val="2"/>
        <charset val="1"/>
      </rPr>
      <t xml:space="preserve"> O valor informado deverá ser o custo real do benefício (descontado o valor eventualmente pago pelo empregado).</t>
    </r>
  </si>
  <si>
    <r>
      <rPr>
        <b/>
        <sz val="7"/>
        <rFont val="Calibri"/>
        <family val="2"/>
        <charset val="1"/>
      </rPr>
      <t>Nota 2:</t>
    </r>
    <r>
      <rPr>
        <sz val="7"/>
        <rFont val="Calibri"/>
        <family val="2"/>
        <charset val="1"/>
      </rPr>
      <t xml:space="preserve"> Observar a previsão dos benefícios contidos em Acordos, Convenções e Dissídios Coletivos de Trabalho e atentar-se ao disposto no art. 6º desta Instrução Normativa.</t>
    </r>
  </si>
  <si>
    <t>Quadro-Resumo do Módulo 2 - Encargos e Benefícios anuais, mensais e diários</t>
  </si>
  <si>
    <t>2.1</t>
  </si>
  <si>
    <t>13º (décimo terceiro) Salário, Férias e Adicional de Férias</t>
  </si>
  <si>
    <t>2.2</t>
  </si>
  <si>
    <t xml:space="preserve"> GPS, FGTS e outras contribuições</t>
  </si>
  <si>
    <t>2.3</t>
  </si>
  <si>
    <t>Benefícios Mensais e Diários</t>
  </si>
  <si>
    <t xml:space="preserve">Total </t>
  </si>
  <si>
    <t>Módulo 3 - Provisão para Rescisão</t>
  </si>
  <si>
    <t>Provisão para rescisão</t>
  </si>
  <si>
    <t>Aviso prévio indenizado</t>
  </si>
  <si>
    <t>Nº de dias</t>
  </si>
  <si>
    <t>Percentual de ocorrência anual</t>
  </si>
  <si>
    <t>Incidência do FGTS sobre Aviso Prévio indenizado</t>
  </si>
  <si>
    <t>Incidência da Multa e CS s/ FGTS incidente no API</t>
  </si>
  <si>
    <t>D.1</t>
  </si>
  <si>
    <t xml:space="preserve">Aviso prévio trabalhado  (final do contrato) </t>
  </si>
  <si>
    <t>Vigência inicial (meses)</t>
  </si>
  <si>
    <t>D.2</t>
  </si>
  <si>
    <t>Aviso prévio trabalhado (rotatividade)</t>
  </si>
  <si>
    <t xml:space="preserve">Incidência dos encargos do submódulo 2.2 sobre os itens D.1, D.2 </t>
  </si>
  <si>
    <t>Multa sobre FGTS e contribuições sociais incidentes</t>
  </si>
  <si>
    <t>Módulo 4 - Custo de Reposição do Profissional Ausente</t>
  </si>
  <si>
    <t>4.5</t>
  </si>
  <si>
    <t>Submódulo 4.1 - Substituição em Ausências Legais</t>
  </si>
  <si>
    <t xml:space="preserve">Substituto na cobertura de Férias </t>
  </si>
  <si>
    <t>Substituição em  Ausências por doença</t>
  </si>
  <si>
    <t>Dias de ocorrência por ano</t>
  </si>
  <si>
    <t>Substituto na Cobertura de Licença-Paternidade</t>
  </si>
  <si>
    <t>dias de afastamento</t>
  </si>
  <si>
    <t>Substituto nas Ausências legais</t>
  </si>
  <si>
    <t>Substituto na coberrtura de ausência por acidente de trabalho</t>
  </si>
  <si>
    <t xml:space="preserve">dias afastamento </t>
  </si>
  <si>
    <t>Substituto   na cobertura de Afastamento Maternidade</t>
  </si>
  <si>
    <t>Taxa de natalidade:</t>
  </si>
  <si>
    <t>Subtotal</t>
  </si>
  <si>
    <t>Incidência dos encargos do submódulo 2.2 sobre o custo de reposição do profissional ausente.</t>
  </si>
  <si>
    <t>Total do Submódulo 4.1</t>
  </si>
  <si>
    <r>
      <rPr>
        <b/>
        <sz val="7"/>
        <rFont val="Calibri"/>
        <family val="2"/>
        <charset val="1"/>
      </rPr>
      <t xml:space="preserve">Nota 1: </t>
    </r>
    <r>
      <rPr>
        <sz val="7"/>
        <rFont val="Calibri"/>
        <family val="2"/>
        <charset val="1"/>
      </rPr>
      <t>Os itens que contemplam o módulo 4 se referem ao custo dos dias trabalhados pelo repositor/substituto que por ventura venha cobrir o empregado nos casos de Ausências Legais (Submódulo 4.1) e/ou na Intrajornada (Submódulo 4.2), a depender da prestação do serviço.</t>
    </r>
  </si>
  <si>
    <r>
      <rPr>
        <b/>
        <sz val="7"/>
        <rFont val="Calibri"/>
        <family val="2"/>
        <charset val="1"/>
      </rPr>
      <t>Nota 2</t>
    </r>
    <r>
      <rPr>
        <sz val="7"/>
        <rFont val="Calibri"/>
        <family val="2"/>
        <charset val="1"/>
      </rPr>
      <t>: Haverá a incidência do Submódulo 2.2 sobre esse módulo.</t>
    </r>
  </si>
  <si>
    <t>Submódulo 4.2 -Substituto na  Intrajornada</t>
  </si>
  <si>
    <t>Substituto nas cobertura de  Intervalo para repouso ou alimentação</t>
  </si>
  <si>
    <t>Quadro-Resumo do Módulo 4 - Custo de Reposição do Profissional Ausente</t>
  </si>
  <si>
    <t>4.1</t>
  </si>
  <si>
    <t xml:space="preserve">Substituto nas Ausências Legais </t>
  </si>
  <si>
    <t>4.2</t>
  </si>
  <si>
    <t xml:space="preserve">Substituto na Intrajornada </t>
  </si>
  <si>
    <t xml:space="preserve">Módulo 5 - Insumos Diversos </t>
  </si>
  <si>
    <t>Insumos Diversos</t>
  </si>
  <si>
    <t>Uniformes e EPIs</t>
  </si>
  <si>
    <r>
      <rPr>
        <b/>
        <sz val="7"/>
        <color rgb="FF000000"/>
        <rFont val="Calibri"/>
        <family val="2"/>
        <charset val="1"/>
      </rPr>
      <t xml:space="preserve">Nota: </t>
    </r>
    <r>
      <rPr>
        <sz val="7"/>
        <color rgb="FF000000"/>
        <rFont val="Calibri"/>
        <family val="2"/>
        <charset val="1"/>
      </rPr>
      <t>Valores mensais por empregado.</t>
    </r>
  </si>
  <si>
    <t>Mão de obra vinculada à execução contratual (valor por empregado) – Custos  diretos</t>
  </si>
  <si>
    <t>(R$)</t>
  </si>
  <si>
    <t>Módulo 1 - Composição da remuneração</t>
  </si>
  <si>
    <t>Módulo 3 -  Provisão para Rescisão</t>
  </si>
  <si>
    <t>Custo Direto: Subtotal (A+B+C+D+E)</t>
  </si>
  <si>
    <t>Módulo 6 : Custos Indiretos, Tributos e Lucro</t>
  </si>
  <si>
    <t>Custos Indiretos, Tributos e Lucro</t>
  </si>
  <si>
    <t>Percentual (%)</t>
  </si>
  <si>
    <t>Custos indiretos / Despesas Administrativas e Operacionais</t>
  </si>
  <si>
    <t>Lucro</t>
  </si>
  <si>
    <t>Tributos</t>
  </si>
  <si>
    <t>c.1 - Tributos Federais</t>
  </si>
  <si>
    <t>PIS:</t>
  </si>
  <si>
    <t>COFINS:</t>
  </si>
  <si>
    <t>c.2 - Tributos Estaduais</t>
  </si>
  <si>
    <t>c.3 - Tributos Municipais</t>
  </si>
  <si>
    <t>ISSQN:</t>
  </si>
  <si>
    <r>
      <rPr>
        <b/>
        <sz val="7"/>
        <color rgb="FF000000"/>
        <rFont val="Calibri"/>
        <family val="2"/>
        <charset val="1"/>
      </rPr>
      <t>Nota 1:</t>
    </r>
    <r>
      <rPr>
        <sz val="7"/>
        <color rgb="FF000000"/>
        <rFont val="Calibri"/>
        <family val="2"/>
        <charset val="1"/>
      </rPr>
      <t xml:space="preserve"> Custos Indiretos, Tributos e Lucro por empregado.</t>
    </r>
  </si>
  <si>
    <r>
      <rPr>
        <b/>
        <sz val="7"/>
        <color rgb="FF000000"/>
        <rFont val="Calibri"/>
        <family val="2"/>
        <charset val="1"/>
      </rPr>
      <t>Nota 2:</t>
    </r>
    <r>
      <rPr>
        <sz val="7"/>
        <color rgb="FF000000"/>
        <rFont val="Calibri"/>
        <family val="2"/>
        <charset val="1"/>
      </rPr>
      <t xml:space="preserve"> O valor referente a tributos é obtido aplicando-se o percentual sobre o valor do
faturamento</t>
    </r>
  </si>
  <si>
    <t>QUADRO-RESUMO DO CUSTO POR EMPREGADO</t>
  </si>
  <si>
    <t>Mão de obra vinculada à execução contratual (valor por empregado)</t>
  </si>
  <si>
    <t>Módulo 6- Custos indiretos, tributos e lucro</t>
  </si>
  <si>
    <t>Valor total por empregado</t>
  </si>
  <si>
    <t>Valor total posto 12x36 noturno</t>
  </si>
  <si>
    <t>Custo do empregado por dia [Valor total do empregado / 15,22]</t>
  </si>
  <si>
    <t>Custo do empregado por Hora [Custo do empregado por dia / 12]</t>
  </si>
  <si>
    <t>Base de Cálculo</t>
  </si>
  <si>
    <t>13º Salário</t>
  </si>
  <si>
    <t>Férias + 1/3 de Férias</t>
  </si>
  <si>
    <t>Encargos do SM 4.1 sobre 13º e Férias + 1/3 de Férias</t>
  </si>
  <si>
    <t>Multa do FGTS</t>
  </si>
  <si>
    <t>Percentual total</t>
  </si>
  <si>
    <t>Valor mensal  a ser retido por vigilante</t>
  </si>
  <si>
    <t>Valor mensal  a ser retido por posto</t>
  </si>
  <si>
    <t>Anexo III</t>
  </si>
  <si>
    <t>MODELO DE PLANILHA DE CUSTOS E FORMAÇÃO DE PREÇOS</t>
  </si>
  <si>
    <t>Nº do Processo:</t>
  </si>
  <si>
    <t>Licitação Nº</t>
  </si>
  <si>
    <t>Nome da Empresa</t>
  </si>
  <si>
    <t>Nº CNPJ:</t>
  </si>
  <si>
    <t>Submódulo 2.3: Benefícios mensais e diários</t>
  </si>
  <si>
    <t>Benefícios mensais e diários</t>
  </si>
  <si>
    <t>Bilhetes diários</t>
  </si>
  <si>
    <t>nº de viagens</t>
  </si>
  <si>
    <t>Custo bilhete</t>
  </si>
  <si>
    <t>Participação empregado</t>
  </si>
  <si>
    <t>Aa</t>
  </si>
  <si>
    <t>Custo ticket</t>
  </si>
  <si>
    <t>B'</t>
  </si>
  <si>
    <t>Auxílio alimentação (44 horas semanais)</t>
  </si>
  <si>
    <t>Tickets mensais</t>
  </si>
  <si>
    <t>Valor do benefício</t>
  </si>
  <si>
    <t>Valor  Beneficio mensal</t>
  </si>
  <si>
    <t xml:space="preserve">Seguro Morte </t>
  </si>
  <si>
    <t>Seguro Inval+Ac Trab</t>
  </si>
  <si>
    <t>Auxilio Funeral</t>
  </si>
  <si>
    <t>Valor (12x36)</t>
  </si>
  <si>
    <t>% ocorr.</t>
  </si>
  <si>
    <t>Valor unitário</t>
  </si>
  <si>
    <t>MÓDULO 05 – INSUMOS DIVERSOS</t>
  </si>
  <si>
    <t>UNIFORMES</t>
  </si>
  <si>
    <t>#</t>
  </si>
  <si>
    <t>Item</t>
  </si>
  <si>
    <t>Custo unitário</t>
  </si>
  <si>
    <t>Vida útil</t>
  </si>
  <si>
    <t>QTD</t>
  </si>
  <si>
    <t>Custo mensal</t>
  </si>
  <si>
    <t>Outros (especificar)</t>
  </si>
  <si>
    <t>Custo total mensal</t>
  </si>
  <si>
    <t>EQUIPAMENTOS E COMPLEMENTOS - postos armados</t>
  </si>
  <si>
    <t>Manutenção</t>
  </si>
  <si>
    <t xml:space="preserve">PLANILHA DE CUSTOS EFORMAÇÃO DE PREÇOS </t>
  </si>
  <si>
    <t>Dia ____/____/___  às ____:___horas</t>
  </si>
  <si>
    <t>___/_______/________</t>
  </si>
  <si>
    <r>
      <rPr>
        <b/>
        <sz val="8"/>
        <rFont val="Calibri"/>
        <family val="2"/>
        <charset val="1"/>
      </rPr>
      <t>Regime Tributário da Empresa: __PRESUMIDO_________</t>
    </r>
    <r>
      <rPr>
        <sz val="8"/>
        <rFont val="Calibri"/>
        <family val="2"/>
        <charset val="1"/>
      </rPr>
      <t xml:space="preserve"> </t>
    </r>
  </si>
  <si>
    <r>
      <rPr>
        <b/>
        <sz val="8"/>
        <rFont val="Calibri"/>
        <family val="2"/>
        <charset val="1"/>
      </rPr>
      <t>Valor do Enquadramento: _____________________</t>
    </r>
    <r>
      <rPr>
        <sz val="8"/>
        <rFont val="Calibri"/>
        <family val="2"/>
        <charset val="1"/>
      </rPr>
      <t xml:space="preserve"> ( da receita bruta acumulada nos 12 (doze) meses anteriores ao período de apuração para fins de determinação da alíquota, conforme art. 18 da LC 123/206)</t>
    </r>
  </si>
  <si>
    <t>Vigilância pres.</t>
  </si>
  <si>
    <t>Convenção Coletiva da Categoria</t>
  </si>
  <si>
    <t>Salário Normativo da Categoria Profissional</t>
  </si>
  <si>
    <t>Dias laborados mês</t>
  </si>
  <si>
    <t>O Mód 1 refere-se ao valor mensal devido ao empregado pela prestação do serviço no período de 12 meses</t>
  </si>
  <si>
    <r>
      <rPr>
        <b/>
        <sz val="7"/>
        <rFont val="Arial"/>
        <family val="2"/>
        <charset val="1"/>
      </rPr>
      <t>Nota 2:</t>
    </r>
    <r>
      <rPr>
        <sz val="7"/>
        <rFont val="Arial"/>
        <family val="2"/>
        <charset val="1"/>
      </rPr>
      <t xml:space="preserve"> O adicional de férias contido no Submódulo 2.1 corresponde a 1/3 (um terço) da remuneração que por sua vez é divido por 12 (doze) conforme Nota 1 acima</t>
    </r>
  </si>
  <si>
    <t>Submódulo 2.2 - Encargos Previdenciários (GPS), Fundo de Garantia por Tempo de Serviço (FGTS)</t>
  </si>
  <si>
    <t>(%)</t>
  </si>
  <si>
    <t>INSS</t>
  </si>
  <si>
    <t>SESI OU SESC</t>
  </si>
  <si>
    <t>SENAI OU SENAC</t>
  </si>
  <si>
    <t>Salário educação</t>
  </si>
  <si>
    <t>FGTS</t>
  </si>
  <si>
    <t>RAT</t>
  </si>
  <si>
    <r>
      <rPr>
        <b/>
        <sz val="7"/>
        <rFont val="Arial"/>
        <family val="2"/>
        <charset val="1"/>
      </rPr>
      <t>Nota 1:</t>
    </r>
    <r>
      <rPr>
        <sz val="7"/>
        <rFont val="Arial"/>
        <family val="2"/>
        <charset val="1"/>
      </rPr>
      <t xml:space="preserve"> Os percentuais dos encargos previdenciários, do FGTS e demais contribuições são aqueles estabelecidos pela legislação vigente.</t>
    </r>
  </si>
  <si>
    <r>
      <rPr>
        <b/>
        <sz val="7"/>
        <rFont val="Arial"/>
        <family val="2"/>
        <charset val="1"/>
      </rPr>
      <t>Nota 2:</t>
    </r>
    <r>
      <rPr>
        <sz val="7"/>
        <rFont val="Arial"/>
        <family val="2"/>
        <charset val="1"/>
      </rPr>
      <t xml:space="preserve"> O SAT a depender do grau de risco do serviço irá variar entre 1%, para risco leve, de 2%, para risco médio, e de 3% de risco grave.</t>
    </r>
  </si>
  <si>
    <t>Auxílio Doença/Invalidez</t>
  </si>
  <si>
    <r>
      <rPr>
        <b/>
        <sz val="7"/>
        <rFont val="Arial"/>
        <family val="2"/>
        <charset val="1"/>
      </rPr>
      <t>Nota 1:</t>
    </r>
    <r>
      <rPr>
        <sz val="7"/>
        <rFont val="Arial"/>
        <family val="2"/>
        <charset val="1"/>
      </rPr>
      <t xml:space="preserve"> O valor informado deverá ser o custo real do benefício (descontado o valor eventualmente pago pelo empregado).</t>
    </r>
  </si>
  <si>
    <r>
      <rPr>
        <b/>
        <sz val="7"/>
        <rFont val="Arial"/>
        <family val="2"/>
        <charset val="1"/>
      </rPr>
      <t>Nota 2:</t>
    </r>
    <r>
      <rPr>
        <sz val="7"/>
        <rFont val="Arial"/>
        <family val="2"/>
        <charset val="1"/>
      </rPr>
      <t xml:space="preserve"> Observar a previsão dos benefícios contidos em Acordos, Convenções e Dissídios Coletivos de Trabalho e atentar-se ao disposto no art. 6º desta Instrução Normativa.</t>
    </r>
  </si>
  <si>
    <t xml:space="preserve">Aviso prévio trabalhado  </t>
  </si>
  <si>
    <t xml:space="preserve">Incidência dos encargos do submódulo 2.2 sobre os item D </t>
  </si>
  <si>
    <t>Outros (Explo: Indenização Adicional)</t>
  </si>
  <si>
    <t>Submódulo 4.1 - Substituto nas Ausências Legais</t>
  </si>
  <si>
    <t xml:space="preserve">Base de cálculo para o custo do profissional ausente (substituto): BCCPA = (Rem + 13º Ssal + Férias + 1/3)x Item Reposição . Conforme item 89 do Relatório do Acórdão TCU nº 1.753/2008 do Plenário. </t>
  </si>
  <si>
    <t>Substituto na ausência por doença</t>
  </si>
  <si>
    <t>Substituto na cobertura de Licença paternidade</t>
  </si>
  <si>
    <t>Substituto na cobertura de ausência por acidente de trabalho</t>
  </si>
  <si>
    <t>Substituto na cobertura de Afastamento Maternidade</t>
  </si>
  <si>
    <t>Custos remanescentes</t>
  </si>
  <si>
    <r>
      <rPr>
        <b/>
        <sz val="7"/>
        <rFont val="Arial"/>
        <family val="2"/>
        <charset val="1"/>
      </rPr>
      <t xml:space="preserve">Nota 1: </t>
    </r>
    <r>
      <rPr>
        <sz val="7"/>
        <rFont val="Arial"/>
        <family val="2"/>
        <charset val="1"/>
      </rPr>
      <t>Os itens que contemplam o módulo 4 se referem ao custo dos dias trabalhados pelo repositor/substituto que por ventura venha cobrir o empregado nos casos de Ausências Legais (Submódulo 4.1) e/ou na Intrajornada (Submódulo 4.2), a depender da prestação do serviço.</t>
    </r>
  </si>
  <si>
    <r>
      <rPr>
        <b/>
        <sz val="7"/>
        <rFont val="Arial"/>
        <family val="2"/>
        <charset val="1"/>
      </rPr>
      <t>Nota 2</t>
    </r>
    <r>
      <rPr>
        <sz val="7"/>
        <rFont val="Arial"/>
        <family val="2"/>
        <charset val="1"/>
      </rPr>
      <t>: Haverá a incidência do Submódulo 2.2 sobre esse módulo.</t>
    </r>
  </si>
  <si>
    <t>Substituto na cobertura de  Intervalo para repouso ou alimentação</t>
  </si>
  <si>
    <t xml:space="preserve">Sunstituto nas Ausências Legais </t>
  </si>
  <si>
    <t xml:space="preserve">Uniformes </t>
  </si>
  <si>
    <t xml:space="preserve"> Equipamentos e Complementos </t>
  </si>
  <si>
    <t xml:space="preserve">Outros </t>
  </si>
  <si>
    <t>Nota: Valores mensais por empregado.</t>
  </si>
  <si>
    <t>Módulo 5 : Custos Indiretos, Tributos e Lucro</t>
  </si>
  <si>
    <t>Nota 1: Custos Indiretos, Tributos e Lucro por empregado.</t>
  </si>
  <si>
    <t>Nota 2: O valor referente a tributos é obtido aplicando-se o percentual sobre o valor do
faturamento</t>
  </si>
  <si>
    <t xml:space="preserve"> </t>
  </si>
  <si>
    <t>Retenção da Conta Vinculada ( Anexo I - Termo de Referência - do Edital)</t>
  </si>
  <si>
    <t xml:space="preserve">R$ </t>
  </si>
  <si>
    <t xml:space="preserve">EMPRESA: </t>
  </si>
  <si>
    <t xml:space="preserve">Base de cálculo para o custo do profissional ausente (substituto): BCCPA = (Rem + 13º Ssal + Férias + 1/3)x Item Reposição . Conforme item 89 do Relatório do Acórdão TCU nº 1.753/2008 do Plenário e orientações SEGES/MP </t>
  </si>
  <si>
    <t>Razão de hora noturna</t>
  </si>
  <si>
    <t>52 min 30 segundos</t>
  </si>
  <si>
    <t>30 segundos é metade de um minuto</t>
  </si>
  <si>
    <t>52,5min</t>
  </si>
  <si>
    <t>Quantidade de Horas de Relógio = 7</t>
  </si>
  <si>
    <t>ano = 365</t>
  </si>
  <si>
    <t>quantidade de dias por mês</t>
  </si>
  <si>
    <t>dia sim dia não de jornada (metade)</t>
  </si>
  <si>
    <t>multa 40%</t>
  </si>
  <si>
    <t>Multa sobre FGTS</t>
  </si>
  <si>
    <t>Valor Residual</t>
  </si>
  <si>
    <t>Contratacao serv. Manutenção Predial</t>
  </si>
  <si>
    <t>Vale transporte (44 horas semanais)</t>
  </si>
  <si>
    <t>Salário base Oficial de Manutenção</t>
  </si>
  <si>
    <t>LUVA RASPA DE COURO, CANO CURTO (PUNHO *7* CM)</t>
  </si>
  <si>
    <t>BOTA DE SEGURANÇA COM BIQUEIRA DE AÇO E COLARINHO ACOLCHOADO</t>
  </si>
  <si>
    <t>CAPA PARA CHUVA EM PVC COM FORRO DE POLIÉSTER, COM CAPUZ (AMARELA OU AZUL)</t>
  </si>
  <si>
    <t>CAPACETE DE SEGURANÇA ABA FRONTAL COM SUSPENSÃO DE POLIETILENO, SEM JUGULAR (CLASSE B)</t>
  </si>
  <si>
    <t>PROTETOR AUDITIVO TIPO PLUG DE INSERÇÃO COM CORDÃO, ATENUAÇÃO SUPERIOR A 15 DB</t>
  </si>
  <si>
    <t>CINTURÃO DE SEGURANÇA TIPO PARAQUEDISTA, FIVELA EM AÇO, AJUSTE NO SUSPENSÁRIO, CINTURA E PERNAS</t>
  </si>
  <si>
    <t>ÓCULOS DE SEGURANÇA CONTRA IMPACTOS COM LENTE INCOLOR, ARMAÇÃO NYLON, COM PROTEÇÃO UVA E UVB</t>
  </si>
  <si>
    <t>Custo unitário Mensal</t>
  </si>
  <si>
    <t>Coeficiente</t>
  </si>
  <si>
    <t>Calça Jeans ou Sarja</t>
  </si>
  <si>
    <t>Camiseta ou Camisa com emblema da empresa</t>
  </si>
  <si>
    <t>Jaleco mangas longas, brim pesado 100% algodão com emblema da empresa</t>
  </si>
  <si>
    <t>Sapato ou botina com sola de borracha, de acordo com a categoria profissional</t>
  </si>
  <si>
    <t>Meia</t>
  </si>
  <si>
    <t>02 peças a cada 06 meses</t>
  </si>
  <si>
    <t>02 pares a cada 06 meses</t>
  </si>
  <si>
    <t>04 pares a cada 06 meses</t>
  </si>
  <si>
    <t>Materiais, Equipamentos e Ferramental Básicos</t>
  </si>
  <si>
    <t>Outros</t>
  </si>
  <si>
    <t>Oficial de Manutenção Predial</t>
  </si>
  <si>
    <t>44h semanais</t>
  </si>
  <si>
    <t xml:space="preserve">Técnico </t>
  </si>
  <si>
    <t>Benefício Social Familiar</t>
  </si>
  <si>
    <t>CRACHÁ DE IDENTIFICAÇÃO</t>
  </si>
  <si>
    <t>PROTETOR SOLAR FPS 50 - 200ML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</si>
</sst>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(&quot;R$&quot;* #,##0.00_);_(&quot;R$&quot;* \(#,##0.00\);_(&quot;R$&quot;* \-??_);_(@_)"/>
    <numFmt numFmtId="165" formatCode="m/d/yyyy"/>
    <numFmt numFmtId="166" formatCode="_(* #,##0.00_);_(* \(#,##0.00\);_(* \-??_);_(@_)"/>
    <numFmt numFmtId="167" formatCode="&quot;R$ &quot;#,##0.00_);[Red]&quot;(R$ &quot;#,##0.00\)"/>
    <numFmt numFmtId="168" formatCode="[$R$-416]#,##0.00;[Red]\-[$R$-416]#,##0.00"/>
    <numFmt numFmtId="169" formatCode="[$R$-416]\ #,##0.00;[Red]\-[$R$-416]\ #,##0.00"/>
    <numFmt numFmtId="170" formatCode="#,##0.00\ ;[Red]\-#,##0.00\ "/>
    <numFmt numFmtId="171" formatCode="#,##0.00;[Red]#,##0.00"/>
    <numFmt numFmtId="172" formatCode="_-* #,##0.00_-;\-* #,##0.00_-;_-* \-??_-;_-@_-"/>
    <numFmt numFmtId="173" formatCode="&quot; R$ &quot;#,##0.00\ ;&quot;-R$ &quot;#,##0.00\ ;&quot; R$ -&quot;#\ ;@\ "/>
    <numFmt numFmtId="174" formatCode="&quot;R$ &quot;#,##0.00"/>
    <numFmt numFmtId="175" formatCode="_-* #,##0.0000_-;\-* #,##0.0000_-;_-* \-??_-;_-@_-"/>
    <numFmt numFmtId="176" formatCode="[$R$]\ #,##0.00\ ;\-[$R$]\ #,##0.00\ ;[$R$]&quot; -&quot;00\ ;@\ "/>
    <numFmt numFmtId="177" formatCode="[$R$-416]\ #,##0.00"/>
    <numFmt numFmtId="178" formatCode="0.000"/>
    <numFmt numFmtId="179" formatCode="0.000%"/>
    <numFmt numFmtId="180" formatCode="0.0000%"/>
    <numFmt numFmtId="181" formatCode="0.00000000%"/>
    <numFmt numFmtId="182" formatCode="&quot;R$&quot;\ #,##0.00"/>
  </numFmts>
  <fonts count="52" x14ac:knownFonts="1">
    <font>
      <sz val="10"/>
      <name val="Arial"/>
      <charset val="1"/>
    </font>
    <font>
      <b/>
      <sz val="20"/>
      <color rgb="FF000080"/>
      <name val="Arial"/>
      <family val="2"/>
      <charset val="1"/>
    </font>
    <font>
      <b/>
      <sz val="10"/>
      <color rgb="FFFFFFFF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00FF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b/>
      <sz val="6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Arial"/>
      <family val="2"/>
      <charset val="1"/>
    </font>
    <font>
      <b/>
      <sz val="7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2"/>
      <name val="Arial"/>
      <family val="2"/>
      <charset val="1"/>
    </font>
    <font>
      <sz val="10"/>
      <name val="Calibri"/>
      <family val="2"/>
      <charset val="1"/>
    </font>
    <font>
      <b/>
      <sz val="7"/>
      <name val="Calibri"/>
      <family val="2"/>
      <charset val="1"/>
    </font>
    <font>
      <sz val="7"/>
      <name val="Calibri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Tahoma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FF"/>
      <name val="Calibri"/>
      <family val="2"/>
      <charset val="1"/>
    </font>
    <font>
      <sz val="10"/>
      <color rgb="FF000000"/>
      <name val="Arial"/>
      <family val="2"/>
      <charset val="1"/>
    </font>
    <font>
      <b/>
      <u/>
      <sz val="10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4"/>
      <color rgb="FF000000"/>
      <name val="Tahoma"/>
      <family val="2"/>
      <charset val="1"/>
    </font>
    <font>
      <b/>
      <sz val="11"/>
      <color rgb="FF000000"/>
      <name val="Tahoma"/>
      <family val="2"/>
      <charset val="1"/>
    </font>
    <font>
      <b/>
      <sz val="12"/>
      <name val="Calibri"/>
      <family val="2"/>
      <charset val="1"/>
    </font>
    <font>
      <b/>
      <sz val="8"/>
      <name val="Calibri"/>
      <family val="2"/>
      <charset val="1"/>
    </font>
    <font>
      <b/>
      <sz val="6"/>
      <name val="Calibri"/>
      <family val="2"/>
      <charset val="1"/>
    </font>
    <font>
      <b/>
      <sz val="9"/>
      <name val="Calibri"/>
      <family val="2"/>
      <charset val="1"/>
    </font>
    <font>
      <sz val="8"/>
      <name val="Calibri"/>
      <family val="2"/>
      <charset val="1"/>
    </font>
    <font>
      <b/>
      <sz val="7"/>
      <name val="Arial"/>
      <family val="2"/>
      <charset val="1"/>
    </font>
    <font>
      <sz val="7"/>
      <name val="Arial"/>
      <family val="2"/>
      <charset val="1"/>
    </font>
    <font>
      <b/>
      <sz val="8"/>
      <color rgb="FF0000FF"/>
      <name val="Calibri"/>
      <family val="2"/>
      <charset val="1"/>
    </font>
    <font>
      <b/>
      <u/>
      <sz val="9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A6A6A6"/>
        <bgColor rgb="FFBFBFBF"/>
      </patternFill>
    </fill>
    <fill>
      <patternFill patternType="solid">
        <fgColor rgb="FFEBF1DE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0C0C0"/>
      </patternFill>
    </fill>
    <fill>
      <patternFill patternType="solid">
        <fgColor rgb="FFCCFFFF"/>
        <bgColor rgb="FFDBEEF4"/>
      </patternFill>
    </fill>
    <fill>
      <patternFill patternType="solid">
        <fgColor rgb="FFD9D9D9"/>
        <bgColor rgb="FFD7E4BD"/>
      </patternFill>
    </fill>
    <fill>
      <patternFill patternType="solid">
        <fgColor rgb="FFFFFFFF"/>
        <bgColor rgb="FFF2F2F2"/>
      </patternFill>
    </fill>
    <fill>
      <patternFill patternType="solid">
        <fgColor rgb="FFDBEEF4"/>
        <bgColor rgb="FFEBF1DE"/>
      </patternFill>
    </fill>
    <fill>
      <patternFill patternType="solid">
        <fgColor rgb="FF00FFFF"/>
        <bgColor rgb="FF00FFFF"/>
      </patternFill>
    </fill>
    <fill>
      <patternFill patternType="solid">
        <fgColor rgb="FFD7E4BD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F2F2F2"/>
        <bgColor rgb="FFEBF1DE"/>
      </patternFill>
    </fill>
    <fill>
      <patternFill patternType="solid">
        <fgColor rgb="FFCCCCFF"/>
        <bgColor rgb="FFB9CDE5"/>
      </patternFill>
    </fill>
    <fill>
      <patternFill patternType="solid">
        <fgColor rgb="FFB9CDE5"/>
        <bgColor rgb="FFCCCCFF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6" fontId="47" fillId="0" borderId="0" applyBorder="0" applyProtection="0"/>
    <xf numFmtId="164" fontId="47" fillId="0" borderId="0" applyBorder="0" applyProtection="0"/>
    <xf numFmtId="9" fontId="47" fillId="0" borderId="0" applyBorder="0" applyProtection="0"/>
    <xf numFmtId="9" fontId="47" fillId="0" borderId="0" applyBorder="0" applyProtection="0"/>
  </cellStyleXfs>
  <cellXfs count="55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2" xfId="0" applyFont="1" applyBorder="1"/>
    <xf numFmtId="0" fontId="7" fillId="0" borderId="1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3" fillId="0" borderId="16" xfId="2" applyNumberFormat="1" applyFont="1" applyBorder="1" applyAlignment="1" applyProtection="1">
      <alignment horizontal="center"/>
      <protection locked="0"/>
    </xf>
    <xf numFmtId="0" fontId="5" fillId="0" borderId="17" xfId="0" applyFont="1" applyBorder="1"/>
    <xf numFmtId="0" fontId="7" fillId="0" borderId="18" xfId="0" applyFont="1" applyBorder="1" applyAlignment="1" applyProtection="1">
      <alignment horizontal="left"/>
      <protection locked="0"/>
    </xf>
    <xf numFmtId="10" fontId="9" fillId="0" borderId="12" xfId="0" applyNumberFormat="1" applyFont="1" applyBorder="1" applyAlignment="1" applyProtection="1">
      <protection locked="0"/>
    </xf>
    <xf numFmtId="10" fontId="9" fillId="0" borderId="19" xfId="0" applyNumberFormat="1" applyFont="1" applyBorder="1" applyAlignment="1" applyProtection="1">
      <protection locked="0"/>
    </xf>
    <xf numFmtId="10" fontId="9" fillId="0" borderId="13" xfId="0" applyNumberFormat="1" applyFont="1" applyBorder="1" applyAlignment="1" applyProtection="1">
      <protection locked="0"/>
    </xf>
    <xf numFmtId="165" fontId="3" fillId="0" borderId="12" xfId="0" applyNumberFormat="1" applyFont="1" applyBorder="1" applyAlignment="1" applyProtection="1">
      <protection locked="0"/>
    </xf>
    <xf numFmtId="165" fontId="3" fillId="0" borderId="19" xfId="0" applyNumberFormat="1" applyFont="1" applyBorder="1" applyAlignment="1" applyProtection="1">
      <protection locked="0"/>
    </xf>
    <xf numFmtId="165" fontId="3" fillId="0" borderId="13" xfId="0" applyNumberFormat="1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10" fillId="0" borderId="17" xfId="0" applyFont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167" fontId="9" fillId="4" borderId="17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 applyProtection="1">
      <alignment horizontal="center"/>
      <protection locked="0"/>
    </xf>
    <xf numFmtId="0" fontId="13" fillId="7" borderId="17" xfId="0" applyFont="1" applyFill="1" applyBorder="1" applyAlignment="1">
      <alignment horizontal="center" vertical="center"/>
    </xf>
    <xf numFmtId="4" fontId="13" fillId="7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66" fontId="15" fillId="5" borderId="17" xfId="1" applyFont="1" applyFill="1" applyBorder="1" applyAlignment="1" applyProtection="1">
      <alignment horizontal="center" vertical="center"/>
    </xf>
    <xf numFmtId="168" fontId="3" fillId="5" borderId="0" xfId="0" applyNumberFormat="1" applyFont="1" applyFill="1"/>
    <xf numFmtId="168" fontId="5" fillId="5" borderId="0" xfId="0" applyNumberFormat="1" applyFont="1" applyFill="1"/>
    <xf numFmtId="0" fontId="14" fillId="0" borderId="23" xfId="0" applyFont="1" applyBorder="1" applyAlignment="1">
      <alignment horizontal="center" vertical="center"/>
    </xf>
    <xf numFmtId="10" fontId="14" fillId="0" borderId="23" xfId="0" applyNumberFormat="1" applyFont="1" applyBorder="1" applyAlignment="1">
      <alignment horizontal="center" vertical="center"/>
    </xf>
    <xf numFmtId="166" fontId="16" fillId="0" borderId="17" xfId="1" applyFont="1" applyBorder="1" applyAlignment="1" applyProtection="1">
      <alignment horizontal="center" vertical="center"/>
    </xf>
    <xf numFmtId="169" fontId="14" fillId="8" borderId="23" xfId="0" applyNumberFormat="1" applyFont="1" applyFill="1" applyBorder="1" applyAlignment="1">
      <alignment horizontal="center" vertical="center"/>
    </xf>
    <xf numFmtId="166" fontId="16" fillId="0" borderId="13" xfId="1" applyFont="1" applyBorder="1" applyAlignment="1" applyProtection="1">
      <alignment horizontal="center" vertical="center"/>
    </xf>
    <xf numFmtId="168" fontId="5" fillId="0" borderId="0" xfId="0" applyNumberFormat="1" applyFont="1"/>
    <xf numFmtId="0" fontId="14" fillId="0" borderId="13" xfId="0" applyFont="1" applyBorder="1" applyAlignment="1">
      <alignment horizontal="center" vertical="center"/>
    </xf>
    <xf numFmtId="169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169" fontId="14" fillId="0" borderId="12" xfId="0" applyNumberFormat="1" applyFont="1" applyBorder="1" applyAlignment="1">
      <alignment horizontal="left" vertical="center"/>
    </xf>
    <xf numFmtId="0" fontId="14" fillId="8" borderId="24" xfId="0" applyFont="1" applyFill="1" applyBorder="1" applyAlignment="1">
      <alignment horizontal="center" vertical="center"/>
    </xf>
    <xf numFmtId="169" fontId="14" fillId="0" borderId="17" xfId="0" applyNumberFormat="1" applyFont="1" applyBorder="1" applyAlignment="1">
      <alignment horizontal="right" vertical="center"/>
    </xf>
    <xf numFmtId="2" fontId="14" fillId="4" borderId="24" xfId="0" applyNumberFormat="1" applyFont="1" applyFill="1" applyBorder="1" applyAlignment="1">
      <alignment horizontal="center" vertical="center"/>
    </xf>
    <xf numFmtId="169" fontId="14" fillId="0" borderId="13" xfId="0" applyNumberFormat="1" applyFont="1" applyBorder="1" applyAlignment="1">
      <alignment horizontal="center" vertical="center"/>
    </xf>
    <xf numFmtId="169" fontId="14" fillId="4" borderId="23" xfId="0" applyNumberFormat="1" applyFont="1" applyFill="1" applyBorder="1" applyAlignment="1">
      <alignment horizontal="center" vertical="center"/>
    </xf>
    <xf numFmtId="169" fontId="14" fillId="4" borderId="17" xfId="0" applyNumberFormat="1" applyFont="1" applyFill="1" applyBorder="1" applyAlignment="1">
      <alignment horizontal="center" vertical="center"/>
    </xf>
    <xf numFmtId="168" fontId="16" fillId="9" borderId="23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70" fontId="14" fillId="4" borderId="17" xfId="0" applyNumberFormat="1" applyFont="1" applyFill="1" applyBorder="1" applyAlignment="1">
      <alignment horizontal="center" vertical="center"/>
    </xf>
    <xf numFmtId="169" fontId="14" fillId="0" borderId="19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" fontId="5" fillId="0" borderId="0" xfId="0" applyNumberFormat="1" applyFont="1"/>
    <xf numFmtId="0" fontId="17" fillId="0" borderId="0" xfId="0" applyFont="1" applyBorder="1" applyAlignment="1">
      <alignment horizontal="center"/>
    </xf>
    <xf numFmtId="166" fontId="16" fillId="0" borderId="17" xfId="1" applyFont="1" applyBorder="1" applyAlignment="1" applyProtection="1">
      <alignment horizontal="center" vertical="center"/>
      <protection locked="0"/>
    </xf>
    <xf numFmtId="166" fontId="15" fillId="0" borderId="23" xfId="1" applyFont="1" applyBorder="1" applyAlignment="1" applyProtection="1">
      <alignment horizontal="center" vertical="center"/>
    </xf>
    <xf numFmtId="166" fontId="6" fillId="0" borderId="0" xfId="0" applyNumberFormat="1" applyFont="1" applyBorder="1" applyAlignment="1">
      <alignment horizontal="center"/>
    </xf>
    <xf numFmtId="9" fontId="20" fillId="0" borderId="0" xfId="0" applyNumberFormat="1" applyFont="1" applyBorder="1" applyAlignment="1">
      <alignment horizontal="left"/>
    </xf>
    <xf numFmtId="0" fontId="15" fillId="10" borderId="23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vertical="center"/>
    </xf>
    <xf numFmtId="0" fontId="15" fillId="10" borderId="21" xfId="0" applyFont="1" applyFill="1" applyBorder="1" applyAlignment="1">
      <alignment vertical="center"/>
    </xf>
    <xf numFmtId="0" fontId="15" fillId="10" borderId="25" xfId="0" applyFont="1" applyFill="1" applyBorder="1" applyAlignment="1">
      <alignment vertical="center"/>
    </xf>
    <xf numFmtId="4" fontId="15" fillId="10" borderId="17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0" fontId="16" fillId="0" borderId="23" xfId="3" applyNumberFormat="1" applyFont="1" applyBorder="1" applyAlignment="1" applyProtection="1">
      <alignment horizontal="center" vertical="center"/>
    </xf>
    <xf numFmtId="166" fontId="21" fillId="0" borderId="25" xfId="1" applyFont="1" applyBorder="1" applyAlignment="1" applyProtection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0" fontId="16" fillId="0" borderId="17" xfId="3" applyNumberFormat="1" applyFont="1" applyBorder="1" applyAlignment="1" applyProtection="1">
      <alignment horizontal="center" vertical="center"/>
    </xf>
    <xf numFmtId="166" fontId="21" fillId="0" borderId="17" xfId="1" applyFont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10" fontId="16" fillId="0" borderId="18" xfId="0" applyNumberFormat="1" applyFont="1" applyBorder="1" applyAlignment="1">
      <alignment horizontal="center" vertical="center"/>
    </xf>
    <xf numFmtId="166" fontId="21" fillId="0" borderId="26" xfId="1" applyFont="1" applyBorder="1" applyAlignment="1" applyProtection="1">
      <alignment horizontal="center" vertical="center"/>
    </xf>
    <xf numFmtId="10" fontId="15" fillId="0" borderId="17" xfId="0" applyNumberFormat="1" applyFont="1" applyBorder="1" applyAlignment="1">
      <alignment horizontal="center" vertical="center"/>
    </xf>
    <xf numFmtId="166" fontId="15" fillId="0" borderId="17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166" fontId="27" fillId="0" borderId="0" xfId="1" applyFont="1" applyBorder="1" applyAlignment="1" applyProtection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4" fontId="13" fillId="10" borderId="17" xfId="0" applyNumberFormat="1" applyFont="1" applyFill="1" applyBorder="1" applyAlignment="1">
      <alignment horizontal="center" vertical="center"/>
    </xf>
    <xf numFmtId="10" fontId="16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 wrapText="1"/>
    </xf>
    <xf numFmtId="10" fontId="16" fillId="4" borderId="17" xfId="0" applyNumberFormat="1" applyFont="1" applyFill="1" applyBorder="1" applyAlignment="1" applyProtection="1">
      <alignment horizontal="center" vertical="center"/>
      <protection locked="0"/>
    </xf>
    <xf numFmtId="2" fontId="16" fillId="4" borderId="17" xfId="0" applyNumberFormat="1" applyFont="1" applyFill="1" applyBorder="1" applyAlignment="1" applyProtection="1">
      <alignment horizontal="center" vertical="center"/>
      <protection locked="0"/>
    </xf>
    <xf numFmtId="10" fontId="15" fillId="0" borderId="2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vertical="center"/>
    </xf>
    <xf numFmtId="0" fontId="15" fillId="10" borderId="19" xfId="0" applyFont="1" applyFill="1" applyBorder="1" applyAlignment="1">
      <alignment vertical="center"/>
    </xf>
    <xf numFmtId="0" fontId="15" fillId="10" borderId="13" xfId="0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10" fontId="11" fillId="0" borderId="0" xfId="0" applyNumberFormat="1" applyFont="1" applyProtection="1">
      <protection locked="0"/>
    </xf>
    <xf numFmtId="171" fontId="11" fillId="0" borderId="0" xfId="0" applyNumberFormat="1" applyFont="1" applyProtection="1">
      <protection locked="0"/>
    </xf>
    <xf numFmtId="0" fontId="29" fillId="10" borderId="20" xfId="0" applyFont="1" applyFill="1" applyBorder="1" applyAlignment="1">
      <alignment horizontal="center"/>
    </xf>
    <xf numFmtId="0" fontId="29" fillId="10" borderId="20" xfId="0" applyFont="1" applyFill="1" applyBorder="1" applyProtection="1">
      <protection locked="0"/>
    </xf>
    <xf numFmtId="10" fontId="30" fillId="10" borderId="21" xfId="0" applyNumberFormat="1" applyFont="1" applyFill="1" applyBorder="1" applyProtection="1">
      <protection locked="0"/>
    </xf>
    <xf numFmtId="171" fontId="30" fillId="10" borderId="21" xfId="0" applyNumberFormat="1" applyFont="1" applyFill="1" applyBorder="1" applyProtection="1">
      <protection locked="0"/>
    </xf>
    <xf numFmtId="171" fontId="30" fillId="10" borderId="25" xfId="0" applyNumberFormat="1" applyFont="1" applyFill="1" applyBorder="1" applyProtection="1">
      <protection locked="0"/>
    </xf>
    <xf numFmtId="4" fontId="13" fillId="10" borderId="25" xfId="0" applyNumberFormat="1" applyFont="1" applyFill="1" applyBorder="1" applyAlignment="1">
      <alignment horizontal="center" vertical="center"/>
    </xf>
    <xf numFmtId="0" fontId="21" fillId="0" borderId="17" xfId="0" applyFont="1" applyBorder="1"/>
    <xf numFmtId="0" fontId="21" fillId="0" borderId="19" xfId="0" applyFont="1" applyBorder="1" applyProtection="1">
      <protection locked="0"/>
    </xf>
    <xf numFmtId="10" fontId="30" fillId="0" borderId="19" xfId="0" applyNumberFormat="1" applyFont="1" applyBorder="1" applyProtection="1">
      <protection locked="0"/>
    </xf>
    <xf numFmtId="171" fontId="30" fillId="0" borderId="19" xfId="0" applyNumberFormat="1" applyFont="1" applyBorder="1" applyProtection="1">
      <protection locked="0"/>
    </xf>
    <xf numFmtId="171" fontId="21" fillId="0" borderId="17" xfId="0" applyNumberFormat="1" applyFont="1" applyBorder="1" applyProtection="1">
      <protection locked="0"/>
    </xf>
    <xf numFmtId="171" fontId="29" fillId="0" borderId="17" xfId="0" applyNumberFormat="1" applyFont="1" applyBorder="1" applyProtection="1">
      <protection locked="0"/>
    </xf>
    <xf numFmtId="0" fontId="21" fillId="0" borderId="0" xfId="0" applyFont="1"/>
    <xf numFmtId="0" fontId="29" fillId="10" borderId="0" xfId="0" applyFont="1" applyFill="1"/>
    <xf numFmtId="0" fontId="15" fillId="7" borderId="17" xfId="0" applyFont="1" applyFill="1" applyBorder="1" applyAlignment="1">
      <alignment horizontal="center" vertical="center"/>
    </xf>
    <xf numFmtId="4" fontId="15" fillId="7" borderId="17" xfId="0" applyNumberFormat="1" applyFont="1" applyFill="1" applyBorder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0" fontId="21" fillId="0" borderId="0" xfId="0" applyNumberFormat="1" applyFont="1"/>
    <xf numFmtId="0" fontId="16" fillId="0" borderId="12" xfId="0" applyFont="1" applyBorder="1" applyAlignment="1">
      <alignment horizontal="center" vertical="center"/>
    </xf>
    <xf numFmtId="10" fontId="16" fillId="0" borderId="13" xfId="3" applyNumberFormat="1" applyFont="1" applyBorder="1" applyAlignment="1" applyProtection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9" fontId="16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1" fontId="16" fillId="4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10" fontId="15" fillId="0" borderId="1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6" fontId="32" fillId="0" borderId="13" xfId="1" applyFont="1" applyBorder="1" applyAlignment="1" applyProtection="1">
      <alignment horizontal="center" vertical="center"/>
    </xf>
    <xf numFmtId="166" fontId="21" fillId="0" borderId="24" xfId="1" applyFont="1" applyBorder="1" applyAlignment="1" applyProtection="1">
      <alignment horizontal="center" vertical="center"/>
    </xf>
    <xf numFmtId="9" fontId="16" fillId="4" borderId="17" xfId="3" applyFont="1" applyFill="1" applyBorder="1" applyAlignment="1" applyProtection="1">
      <alignment horizontal="center" vertical="center"/>
      <protection locked="0"/>
    </xf>
    <xf numFmtId="10" fontId="16" fillId="9" borderId="17" xfId="3" applyNumberFormat="1" applyFont="1" applyFill="1" applyBorder="1" applyAlignment="1" applyProtection="1">
      <alignment horizontal="center" vertical="center"/>
    </xf>
    <xf numFmtId="10" fontId="21" fillId="0" borderId="0" xfId="3" applyNumberFormat="1" applyFont="1" applyBorder="1" applyAlignment="1" applyProtection="1">
      <alignment horizontal="center"/>
    </xf>
    <xf numFmtId="172" fontId="5" fillId="0" borderId="0" xfId="0" applyNumberFormat="1" applyFont="1" applyBorder="1"/>
    <xf numFmtId="0" fontId="27" fillId="10" borderId="23" xfId="0" applyFont="1" applyFill="1" applyBorder="1" applyAlignment="1">
      <alignment horizontal="center" vertical="center"/>
    </xf>
    <xf numFmtId="0" fontId="27" fillId="10" borderId="20" xfId="0" applyFont="1" applyFill="1" applyBorder="1" applyAlignment="1">
      <alignment vertical="center"/>
    </xf>
    <xf numFmtId="0" fontId="27" fillId="10" borderId="21" xfId="0" applyFont="1" applyFill="1" applyBorder="1" applyAlignment="1">
      <alignment vertical="center"/>
    </xf>
    <xf numFmtId="0" fontId="27" fillId="10" borderId="25" xfId="0" applyFont="1" applyFill="1" applyBorder="1" applyAlignment="1">
      <alignment vertical="center"/>
    </xf>
    <xf numFmtId="4" fontId="27" fillId="10" borderId="23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1" fillId="0" borderId="12" xfId="0" applyFont="1" applyBorder="1"/>
    <xf numFmtId="0" fontId="15" fillId="0" borderId="19" xfId="0" applyFont="1" applyBorder="1" applyAlignment="1">
      <alignment horizontal="center" vertical="center"/>
    </xf>
    <xf numFmtId="164" fontId="15" fillId="0" borderId="17" xfId="2" applyFont="1" applyBorder="1" applyAlignment="1" applyProtection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169" fontId="25" fillId="0" borderId="0" xfId="0" applyNumberFormat="1" applyFont="1" applyBorder="1" applyAlignment="1">
      <alignment horizontal="center" vertical="center"/>
    </xf>
    <xf numFmtId="0" fontId="29" fillId="10" borderId="12" xfId="0" applyFont="1" applyFill="1" applyBorder="1" applyAlignment="1">
      <alignment horizontal="center"/>
    </xf>
    <xf numFmtId="0" fontId="29" fillId="10" borderId="12" xfId="0" applyFont="1" applyFill="1" applyBorder="1" applyProtection="1">
      <protection locked="0"/>
    </xf>
    <xf numFmtId="10" fontId="30" fillId="10" borderId="19" xfId="0" applyNumberFormat="1" applyFont="1" applyFill="1" applyBorder="1" applyProtection="1">
      <protection locked="0"/>
    </xf>
    <xf numFmtId="171" fontId="30" fillId="10" borderId="19" xfId="0" applyNumberFormat="1" applyFont="1" applyFill="1" applyBorder="1" applyProtection="1">
      <protection locked="0"/>
    </xf>
    <xf numFmtId="171" fontId="30" fillId="10" borderId="13" xfId="0" applyNumberFormat="1" applyFont="1" applyFill="1" applyBorder="1" applyProtection="1">
      <protection locked="0"/>
    </xf>
    <xf numFmtId="4" fontId="13" fillId="10" borderId="13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10" fontId="16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0" fontId="13" fillId="0" borderId="19" xfId="0" applyNumberFormat="1" applyFont="1" applyBorder="1" applyAlignment="1">
      <alignment horizontal="center" vertical="center"/>
    </xf>
    <xf numFmtId="166" fontId="16" fillId="0" borderId="24" xfId="1" applyFont="1" applyBorder="1" applyAlignment="1" applyProtection="1">
      <alignment horizontal="center" vertical="center"/>
    </xf>
    <xf numFmtId="4" fontId="15" fillId="11" borderId="17" xfId="0" applyNumberFormat="1" applyFont="1" applyFill="1" applyBorder="1" applyAlignment="1">
      <alignment horizontal="center" vertical="center"/>
    </xf>
    <xf numFmtId="173" fontId="21" fillId="0" borderId="17" xfId="2" applyNumberFormat="1" applyFont="1" applyBorder="1" applyAlignment="1" applyProtection="1">
      <alignment horizontal="center" vertical="center"/>
    </xf>
    <xf numFmtId="173" fontId="21" fillId="0" borderId="13" xfId="2" applyNumberFormat="1" applyFont="1" applyBorder="1" applyAlignment="1" applyProtection="1">
      <alignment horizontal="center" vertical="center"/>
    </xf>
    <xf numFmtId="173" fontId="15" fillId="0" borderId="17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10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vertical="center"/>
      <protection locked="0"/>
    </xf>
    <xf numFmtId="10" fontId="16" fillId="12" borderId="17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/>
    <xf numFmtId="174" fontId="16" fillId="0" borderId="17" xfId="0" applyNumberFormat="1" applyFont="1" applyBorder="1" applyAlignment="1" applyProtection="1">
      <alignment horizontal="center" vertical="center"/>
    </xf>
    <xf numFmtId="10" fontId="16" fillId="12" borderId="17" xfId="3" applyNumberFormat="1" applyFont="1" applyFill="1" applyBorder="1" applyAlignment="1" applyProtection="1">
      <alignment horizontal="center" vertical="center"/>
      <protection locked="0"/>
    </xf>
    <xf numFmtId="166" fontId="5" fillId="0" borderId="0" xfId="1" applyFont="1" applyBorder="1" applyAlignment="1" applyProtection="1"/>
    <xf numFmtId="0" fontId="16" fillId="12" borderId="17" xfId="0" applyFont="1" applyFill="1" applyBorder="1" applyAlignment="1" applyProtection="1">
      <alignment horizontal="center" vertical="center"/>
      <protection locked="0"/>
    </xf>
    <xf numFmtId="175" fontId="5" fillId="0" borderId="0" xfId="0" applyNumberFormat="1" applyFont="1"/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/>
    <xf numFmtId="0" fontId="0" fillId="0" borderId="15" xfId="0" applyBorder="1"/>
    <xf numFmtId="10" fontId="35" fillId="0" borderId="15" xfId="4" applyNumberFormat="1" applyFont="1" applyBorder="1" applyAlignment="1" applyProtection="1"/>
    <xf numFmtId="2" fontId="35" fillId="0" borderId="16" xfId="0" applyNumberFormat="1" applyFont="1" applyBorder="1"/>
    <xf numFmtId="4" fontId="15" fillId="11" borderId="24" xfId="0" applyNumberFormat="1" applyFont="1" applyFill="1" applyBorder="1" applyAlignment="1">
      <alignment horizontal="center" vertical="center"/>
    </xf>
    <xf numFmtId="173" fontId="5" fillId="0" borderId="0" xfId="0" applyNumberFormat="1" applyFont="1"/>
    <xf numFmtId="0" fontId="16" fillId="13" borderId="23" xfId="0" applyFont="1" applyFill="1" applyBorder="1" applyAlignment="1">
      <alignment horizontal="center" vertical="center"/>
    </xf>
    <xf numFmtId="173" fontId="15" fillId="13" borderId="23" xfId="2" applyNumberFormat="1" applyFont="1" applyFill="1" applyBorder="1" applyAlignment="1" applyProtection="1">
      <alignment horizontal="center" vertical="center"/>
    </xf>
    <xf numFmtId="0" fontId="0" fillId="0" borderId="17" xfId="0" applyFont="1" applyBorder="1"/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justify" vertical="center"/>
    </xf>
    <xf numFmtId="0" fontId="24" fillId="7" borderId="17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4" fontId="25" fillId="7" borderId="17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5" borderId="17" xfId="0" applyFont="1" applyFill="1" applyBorder="1" applyAlignment="1" applyProtection="1">
      <alignment horizontal="center" vertical="center"/>
      <protection locked="0"/>
    </xf>
    <xf numFmtId="169" fontId="24" fillId="0" borderId="17" xfId="0" applyNumberFormat="1" applyFont="1" applyBorder="1" applyAlignment="1">
      <alignment horizontal="center" vertical="center"/>
    </xf>
    <xf numFmtId="169" fontId="24" fillId="5" borderId="17" xfId="0" applyNumberFormat="1" applyFont="1" applyFill="1" applyBorder="1" applyAlignment="1" applyProtection="1">
      <alignment horizontal="center" vertical="center"/>
      <protection locked="0"/>
    </xf>
    <xf numFmtId="174" fontId="24" fillId="0" borderId="17" xfId="0" applyNumberFormat="1" applyFont="1" applyBorder="1" applyAlignment="1">
      <alignment horizontal="center" vertical="center"/>
    </xf>
    <xf numFmtId="174" fontId="24" fillId="5" borderId="17" xfId="0" applyNumberFormat="1" applyFont="1" applyFill="1" applyBorder="1" applyAlignment="1" applyProtection="1">
      <alignment horizontal="center" vertical="center"/>
      <protection locked="0"/>
    </xf>
    <xf numFmtId="10" fontId="24" fillId="5" borderId="17" xfId="0" applyNumberFormat="1" applyFont="1" applyFill="1" applyBorder="1" applyAlignment="1" applyProtection="1">
      <alignment horizontal="center" vertical="center"/>
      <protection locked="0"/>
    </xf>
    <xf numFmtId="2" fontId="24" fillId="0" borderId="17" xfId="0" applyNumberFormat="1" applyFont="1" applyBorder="1" applyAlignment="1">
      <alignment horizontal="center" vertical="center"/>
    </xf>
    <xf numFmtId="178" fontId="24" fillId="0" borderId="17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9" fontId="24" fillId="5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vertical="center"/>
    </xf>
    <xf numFmtId="174" fontId="24" fillId="5" borderId="17" xfId="2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0" fontId="24" fillId="0" borderId="13" xfId="0" applyFont="1" applyBorder="1" applyAlignment="1">
      <alignment vertical="center" wrapText="1"/>
    </xf>
    <xf numFmtId="169" fontId="0" fillId="0" borderId="0" xfId="0" applyNumberFormat="1"/>
    <xf numFmtId="0" fontId="24" fillId="0" borderId="17" xfId="0" applyFont="1" applyBorder="1" applyAlignment="1">
      <alignment horizontal="right" vertical="center"/>
    </xf>
    <xf numFmtId="169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5" borderId="24" xfId="3" applyNumberFormat="1" applyFont="1" applyFill="1" applyBorder="1" applyAlignment="1" applyProtection="1">
      <alignment horizontal="center" vertical="center"/>
      <protection locked="0"/>
    </xf>
    <xf numFmtId="174" fontId="24" fillId="5" borderId="17" xfId="0" applyNumberFormat="1" applyFont="1" applyFill="1" applyBorder="1" applyAlignment="1">
      <alignment horizontal="center" vertical="center"/>
    </xf>
    <xf numFmtId="0" fontId="27" fillId="15" borderId="17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69" fontId="0" fillId="4" borderId="17" xfId="0" applyNumberFormat="1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169" fontId="0" fillId="0" borderId="17" xfId="0" applyNumberFormat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69" fontId="0" fillId="4" borderId="23" xfId="0" applyNumberForma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0" fontId="39" fillId="0" borderId="14" xfId="0" applyFont="1" applyBorder="1" applyAlignment="1" applyProtection="1">
      <alignment horizontal="left"/>
      <protection locked="0"/>
    </xf>
    <xf numFmtId="0" fontId="29" fillId="0" borderId="15" xfId="2" applyNumberFormat="1" applyFont="1" applyBorder="1" applyAlignment="1" applyProtection="1">
      <alignment horizontal="center"/>
      <protection locked="0"/>
    </xf>
    <xf numFmtId="0" fontId="29" fillId="0" borderId="16" xfId="2" applyNumberFormat="1" applyFont="1" applyBorder="1" applyAlignment="1" applyProtection="1">
      <alignment horizontal="center"/>
      <protection locked="0"/>
    </xf>
    <xf numFmtId="0" fontId="39" fillId="0" borderId="18" xfId="0" applyFont="1" applyBorder="1" applyAlignment="1" applyProtection="1">
      <alignment horizontal="left"/>
      <protection locked="0"/>
    </xf>
    <xf numFmtId="10" fontId="41" fillId="0" borderId="12" xfId="0" applyNumberFormat="1" applyFont="1" applyBorder="1" applyAlignment="1" applyProtection="1">
      <protection locked="0"/>
    </xf>
    <xf numFmtId="10" fontId="41" fillId="0" borderId="19" xfId="0" applyNumberFormat="1" applyFont="1" applyBorder="1" applyAlignment="1" applyProtection="1">
      <protection locked="0"/>
    </xf>
    <xf numFmtId="10" fontId="41" fillId="0" borderId="13" xfId="0" applyNumberFormat="1" applyFont="1" applyBorder="1" applyAlignment="1" applyProtection="1">
      <protection locked="0"/>
    </xf>
    <xf numFmtId="165" fontId="29" fillId="0" borderId="12" xfId="0" applyNumberFormat="1" applyFont="1" applyBorder="1" applyAlignment="1" applyProtection="1">
      <protection locked="0"/>
    </xf>
    <xf numFmtId="165" fontId="29" fillId="0" borderId="19" xfId="0" applyNumberFormat="1" applyFont="1" applyBorder="1" applyAlignment="1" applyProtection="1">
      <protection locked="0"/>
    </xf>
    <xf numFmtId="165" fontId="29" fillId="0" borderId="13" xfId="0" applyNumberFormat="1" applyFont="1" applyBorder="1" applyAlignment="1" applyProtection="1">
      <protection locked="0"/>
    </xf>
    <xf numFmtId="0" fontId="39" fillId="0" borderId="12" xfId="0" applyFont="1" applyBorder="1" applyAlignment="1" applyProtection="1">
      <protection locked="0"/>
    </xf>
    <xf numFmtId="0" fontId="41" fillId="0" borderId="19" xfId="0" applyFont="1" applyBorder="1" applyAlignment="1" applyProtection="1">
      <protection locked="0"/>
    </xf>
    <xf numFmtId="0" fontId="41" fillId="0" borderId="13" xfId="0" applyFont="1" applyBorder="1" applyAlignment="1" applyProtection="1">
      <protection locked="0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1" xfId="0" applyFont="1" applyBorder="1" applyAlignment="1" applyProtection="1">
      <alignment horizontal="left"/>
      <protection locked="0"/>
    </xf>
    <xf numFmtId="0" fontId="41" fillId="4" borderId="17" xfId="0" applyFont="1" applyFill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/>
      <protection locked="0"/>
    </xf>
    <xf numFmtId="0" fontId="30" fillId="0" borderId="19" xfId="0" applyFont="1" applyBorder="1" applyAlignment="1" applyProtection="1">
      <alignment horizontal="left"/>
      <protection locked="0"/>
    </xf>
    <xf numFmtId="0" fontId="30" fillId="0" borderId="13" xfId="0" applyFont="1" applyBorder="1" applyAlignment="1" applyProtection="1">
      <alignment horizontal="left"/>
      <protection locked="0"/>
    </xf>
    <xf numFmtId="0" fontId="30" fillId="0" borderId="22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165" fontId="41" fillId="4" borderId="23" xfId="0" applyNumberFormat="1" applyFont="1" applyFill="1" applyBorder="1" applyAlignment="1" applyProtection="1">
      <alignment horizontal="center"/>
      <protection locked="0"/>
    </xf>
    <xf numFmtId="167" fontId="9" fillId="4" borderId="17" xfId="1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 applyProtection="1">
      <alignment horizontal="center"/>
      <protection locked="0"/>
    </xf>
    <xf numFmtId="0" fontId="14" fillId="0" borderId="1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vertical="center"/>
    </xf>
    <xf numFmtId="166" fontId="21" fillId="0" borderId="17" xfId="1" applyFont="1" applyBorder="1" applyAlignment="1" applyProtection="1"/>
    <xf numFmtId="10" fontId="14" fillId="0" borderId="12" xfId="0" applyNumberFormat="1" applyFont="1" applyBorder="1" applyAlignment="1">
      <alignment horizontal="left" vertical="center"/>
    </xf>
    <xf numFmtId="166" fontId="16" fillId="0" borderId="17" xfId="1" applyFont="1" applyBorder="1" applyAlignment="1" applyProtection="1">
      <alignment vertical="center"/>
      <protection locked="0"/>
    </xf>
    <xf numFmtId="166" fontId="15" fillId="0" borderId="23" xfId="1" applyFont="1" applyBorder="1" applyAlignment="1" applyProtection="1">
      <alignment vertical="center"/>
    </xf>
    <xf numFmtId="0" fontId="19" fillId="0" borderId="12" xfId="0" applyFont="1" applyBorder="1" applyAlignment="1">
      <alignment horizontal="left" vertical="center"/>
    </xf>
    <xf numFmtId="166" fontId="15" fillId="0" borderId="13" xfId="1" applyFont="1" applyBorder="1" applyAlignment="1" applyProtection="1">
      <alignment vertical="center"/>
    </xf>
    <xf numFmtId="0" fontId="30" fillId="0" borderId="0" xfId="0" applyFont="1"/>
    <xf numFmtId="168" fontId="30" fillId="0" borderId="0" xfId="0" applyNumberFormat="1" applyFont="1"/>
    <xf numFmtId="0" fontId="5" fillId="6" borderId="13" xfId="0" applyFont="1" applyFill="1" applyBorder="1"/>
    <xf numFmtId="0" fontId="13" fillId="10" borderId="18" xfId="0" applyFont="1" applyFill="1" applyBorder="1" applyAlignment="1">
      <alignment horizontal="center" vertical="center"/>
    </xf>
    <xf numFmtId="4" fontId="13" fillId="10" borderId="18" xfId="0" applyNumberFormat="1" applyFont="1" applyFill="1" applyBorder="1" applyAlignment="1">
      <alignment horizontal="center" vertical="center"/>
    </xf>
    <xf numFmtId="10" fontId="14" fillId="0" borderId="20" xfId="3" applyNumberFormat="1" applyFont="1" applyBorder="1" applyAlignment="1" applyProtection="1">
      <alignment horizontal="center" vertical="center"/>
    </xf>
    <xf numFmtId="0" fontId="14" fillId="0" borderId="19" xfId="0" applyFont="1" applyBorder="1" applyAlignment="1">
      <alignment horizontal="center" vertical="center"/>
    </xf>
    <xf numFmtId="10" fontId="14" fillId="0" borderId="12" xfId="3" applyNumberFormat="1" applyFont="1" applyBorder="1" applyAlignment="1" applyProtection="1">
      <alignment horizontal="center" vertical="center"/>
    </xf>
    <xf numFmtId="0" fontId="14" fillId="0" borderId="18" xfId="0" applyFont="1" applyBorder="1" applyAlignment="1">
      <alignment horizontal="center" vertical="center"/>
    </xf>
    <xf numFmtId="10" fontId="14" fillId="0" borderId="22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73" fontId="13" fillId="0" borderId="0" xfId="2" applyNumberFormat="1" applyFont="1" applyBorder="1" applyAlignment="1" applyProtection="1">
      <alignment horizontal="center" vertical="center"/>
    </xf>
    <xf numFmtId="4" fontId="13" fillId="10" borderId="23" xfId="0" applyNumberFormat="1" applyFont="1" applyFill="1" applyBorder="1" applyAlignment="1">
      <alignment horizontal="center" vertical="center"/>
    </xf>
    <xf numFmtId="10" fontId="14" fillId="0" borderId="1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10" fontId="14" fillId="4" borderId="17" xfId="0" applyNumberFormat="1" applyFont="1" applyFill="1" applyBorder="1" applyAlignment="1" applyProtection="1">
      <alignment horizontal="center" vertical="center"/>
      <protection locked="0"/>
    </xf>
    <xf numFmtId="2" fontId="14" fillId="4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13" fillId="10" borderId="12" xfId="0" applyFont="1" applyFill="1" applyBorder="1" applyAlignment="1">
      <alignment vertical="center"/>
    </xf>
    <xf numFmtId="0" fontId="13" fillId="10" borderId="19" xfId="0" applyFont="1" applyFill="1" applyBorder="1" applyAlignment="1">
      <alignment vertical="center"/>
    </xf>
    <xf numFmtId="0" fontId="13" fillId="10" borderId="13" xfId="0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readingOrder="1"/>
    </xf>
    <xf numFmtId="0" fontId="14" fillId="0" borderId="19" xfId="0" applyFont="1" applyBorder="1" applyAlignment="1">
      <alignment horizontal="left" vertical="center"/>
    </xf>
    <xf numFmtId="0" fontId="30" fillId="0" borderId="0" xfId="0" applyFont="1" applyProtection="1">
      <protection locked="0"/>
    </xf>
    <xf numFmtId="10" fontId="30" fillId="0" borderId="0" xfId="0" applyNumberFormat="1" applyFont="1" applyProtection="1">
      <protection locked="0"/>
    </xf>
    <xf numFmtId="171" fontId="30" fillId="0" borderId="0" xfId="0" applyNumberFormat="1" applyFont="1" applyProtection="1">
      <protection locked="0"/>
    </xf>
    <xf numFmtId="0" fontId="41" fillId="10" borderId="20" xfId="0" applyFont="1" applyFill="1" applyBorder="1" applyAlignment="1">
      <alignment horizontal="center"/>
    </xf>
    <xf numFmtId="0" fontId="30" fillId="0" borderId="17" xfId="0" applyFont="1" applyBorder="1"/>
    <xf numFmtId="0" fontId="30" fillId="0" borderId="19" xfId="0" applyFont="1" applyBorder="1" applyProtection="1">
      <protection locked="0"/>
    </xf>
    <xf numFmtId="171" fontId="29" fillId="0" borderId="13" xfId="0" applyNumberFormat="1" applyFont="1" applyBorder="1" applyProtection="1">
      <protection locked="0"/>
    </xf>
    <xf numFmtId="0" fontId="41" fillId="10" borderId="0" xfId="0" applyFont="1" applyFill="1"/>
    <xf numFmtId="0" fontId="13" fillId="7" borderId="23" xfId="0" applyFont="1" applyFill="1" applyBorder="1" applyAlignment="1">
      <alignment horizontal="center" vertical="center"/>
    </xf>
    <xf numFmtId="4" fontId="13" fillId="7" borderId="23" xfId="0" applyNumberFormat="1" applyFont="1" applyFill="1" applyBorder="1" applyAlignment="1">
      <alignment horizontal="center" vertical="center"/>
    </xf>
    <xf numFmtId="10" fontId="14" fillId="0" borderId="19" xfId="3" applyNumberFormat="1" applyFont="1" applyBorder="1" applyAlignment="1" applyProtection="1">
      <alignment horizontal="center" vertical="center"/>
    </xf>
    <xf numFmtId="0" fontId="14" fillId="0" borderId="20" xfId="0" applyFont="1" applyBorder="1" applyAlignment="1">
      <alignment horizontal="center" vertical="center"/>
    </xf>
    <xf numFmtId="10" fontId="30" fillId="0" borderId="19" xfId="3" applyNumberFormat="1" applyFont="1" applyBorder="1" applyAlignment="1" applyProtection="1">
      <alignment horizontal="left" vertical="center"/>
    </xf>
    <xf numFmtId="10" fontId="14" fillId="0" borderId="13" xfId="0" applyNumberFormat="1" applyFont="1" applyBorder="1" applyAlignment="1" applyProtection="1">
      <alignment horizontal="left" vertical="center"/>
      <protection locked="0"/>
    </xf>
    <xf numFmtId="10" fontId="14" fillId="0" borderId="2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6" fontId="32" fillId="0" borderId="17" xfId="1" applyFont="1" applyBorder="1" applyAlignment="1" applyProtection="1">
      <alignment horizontal="center" vertical="center"/>
    </xf>
    <xf numFmtId="10" fontId="14" fillId="0" borderId="14" xfId="3" applyNumberFormat="1" applyFont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10" fontId="14" fillId="0" borderId="12" xfId="3" applyNumberFormat="1" applyFont="1" applyBorder="1" applyAlignment="1" applyProtection="1">
      <alignment horizontal="left" vertical="center"/>
    </xf>
    <xf numFmtId="10" fontId="30" fillId="0" borderId="0" xfId="3" applyNumberFormat="1" applyFont="1" applyBorder="1" applyAlignment="1" applyProtection="1">
      <alignment horizontal="center"/>
    </xf>
    <xf numFmtId="10" fontId="13" fillId="0" borderId="17" xfId="0" applyNumberFormat="1" applyFont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vertical="center"/>
    </xf>
    <xf numFmtId="0" fontId="13" fillId="10" borderId="21" xfId="0" applyFont="1" applyFill="1" applyBorder="1" applyAlignment="1">
      <alignment vertical="center"/>
    </xf>
    <xf numFmtId="0" fontId="13" fillId="10" borderId="25" xfId="0" applyFont="1" applyFill="1" applyBorder="1" applyAlignment="1">
      <alignment vertical="center"/>
    </xf>
    <xf numFmtId="0" fontId="30" fillId="0" borderId="12" xfId="0" applyFont="1" applyBorder="1"/>
    <xf numFmtId="10" fontId="13" fillId="0" borderId="13" xfId="0" applyNumberFormat="1" applyFont="1" applyBorder="1" applyAlignment="1">
      <alignment horizontal="center" vertical="center"/>
    </xf>
    <xf numFmtId="164" fontId="13" fillId="0" borderId="17" xfId="2" applyFont="1" applyBorder="1" applyAlignment="1" applyProtection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0" fontId="41" fillId="10" borderId="12" xfId="0" applyFont="1" applyFill="1" applyBorder="1" applyAlignment="1">
      <alignment horizontal="center"/>
    </xf>
    <xf numFmtId="10" fontId="14" fillId="0" borderId="19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10" fontId="30" fillId="0" borderId="0" xfId="0" applyNumberFormat="1" applyFont="1" applyAlignment="1" applyProtection="1">
      <alignment vertical="center"/>
      <protection locked="0"/>
    </xf>
    <xf numFmtId="171" fontId="30" fillId="0" borderId="0" xfId="0" applyNumberFormat="1" applyFont="1" applyAlignment="1" applyProtection="1">
      <alignment vertical="center"/>
      <protection locked="0"/>
    </xf>
    <xf numFmtId="4" fontId="13" fillId="16" borderId="23" xfId="0" applyNumberFormat="1" applyFont="1" applyFill="1" applyBorder="1" applyAlignment="1">
      <alignment horizontal="center" vertical="center"/>
    </xf>
    <xf numFmtId="10" fontId="14" fillId="12" borderId="12" xfId="0" applyNumberFormat="1" applyFont="1" applyFill="1" applyBorder="1" applyAlignment="1" applyProtection="1">
      <alignment horizontal="center" vertical="center"/>
      <protection locked="0"/>
    </xf>
    <xf numFmtId="166" fontId="14" fillId="0" borderId="17" xfId="1" applyFont="1" applyBorder="1" applyAlignment="1" applyProtection="1">
      <alignment horizontal="center" vertical="center"/>
    </xf>
    <xf numFmtId="10" fontId="14" fillId="12" borderId="17" xfId="3" applyNumberFormat="1" applyFont="1" applyFill="1" applyBorder="1" applyAlignment="1" applyProtection="1">
      <alignment horizontal="center" vertical="center"/>
      <protection locked="0"/>
    </xf>
    <xf numFmtId="0" fontId="14" fillId="12" borderId="17" xfId="0" applyFont="1" applyFill="1" applyBorder="1" applyAlignment="1" applyProtection="1">
      <alignment horizontal="center" vertical="center"/>
      <protection locked="0"/>
    </xf>
    <xf numFmtId="166" fontId="13" fillId="0" borderId="23" xfId="1" applyFont="1" applyBorder="1" applyAlignment="1" applyProtection="1">
      <alignment horizontal="center" vertical="center"/>
    </xf>
    <xf numFmtId="4" fontId="13" fillId="11" borderId="24" xfId="0" applyNumberFormat="1" applyFont="1" applyFill="1" applyBorder="1" applyAlignment="1">
      <alignment horizontal="center" vertical="center"/>
    </xf>
    <xf numFmtId="173" fontId="30" fillId="0" borderId="24" xfId="2" applyNumberFormat="1" applyFont="1" applyBorder="1" applyAlignment="1" applyProtection="1">
      <alignment horizontal="center" vertical="center"/>
    </xf>
    <xf numFmtId="173" fontId="30" fillId="0" borderId="17" xfId="2" applyNumberFormat="1" applyFont="1" applyBorder="1" applyAlignment="1" applyProtection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173" fontId="13" fillId="14" borderId="23" xfId="2" applyNumberFormat="1" applyFont="1" applyFill="1" applyBorder="1" applyAlignment="1" applyProtection="1">
      <alignment horizontal="center" vertical="center"/>
    </xf>
    <xf numFmtId="0" fontId="14" fillId="14" borderId="24" xfId="0" applyFont="1" applyFill="1" applyBorder="1" applyAlignment="1">
      <alignment horizontal="center" vertical="center"/>
    </xf>
    <xf numFmtId="176" fontId="14" fillId="14" borderId="17" xfId="2" applyNumberFormat="1" applyFont="1" applyFill="1" applyBorder="1" applyAlignment="1" applyProtection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177" fontId="14" fillId="14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4" fontId="9" fillId="5" borderId="23" xfId="0" applyNumberFormat="1" applyFont="1" applyFill="1" applyBorder="1" applyAlignment="1" applyProtection="1">
      <alignment horizontal="center"/>
      <protection locked="0"/>
    </xf>
    <xf numFmtId="10" fontId="5" fillId="0" borderId="0" xfId="0" applyNumberFormat="1" applyFont="1"/>
    <xf numFmtId="0" fontId="0" fillId="0" borderId="17" xfId="0" applyFont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0" fontId="5" fillId="0" borderId="0" xfId="0" applyNumberFormat="1" applyFont="1"/>
    <xf numFmtId="10" fontId="16" fillId="0" borderId="18" xfId="3" applyNumberFormat="1" applyFont="1" applyBorder="1" applyAlignment="1" applyProtection="1">
      <alignment horizontal="center" vertical="center"/>
    </xf>
    <xf numFmtId="179" fontId="16" fillId="0" borderId="24" xfId="3" applyNumberFormat="1" applyFont="1" applyBorder="1" applyAlignment="1" applyProtection="1">
      <alignment horizontal="center" vertical="center"/>
    </xf>
    <xf numFmtId="179" fontId="16" fillId="0" borderId="17" xfId="3" applyNumberFormat="1" applyFont="1" applyBorder="1" applyAlignment="1" applyProtection="1">
      <alignment horizontal="center" vertical="center"/>
    </xf>
    <xf numFmtId="166" fontId="5" fillId="0" borderId="0" xfId="0" applyNumberFormat="1" applyFont="1" applyBorder="1"/>
    <xf numFmtId="43" fontId="5" fillId="0" borderId="0" xfId="0" applyNumberFormat="1" applyFont="1" applyBorder="1"/>
    <xf numFmtId="181" fontId="47" fillId="0" borderId="0" xfId="3" applyNumberFormat="1" applyBorder="1"/>
    <xf numFmtId="9" fontId="5" fillId="0" borderId="0" xfId="0" applyNumberFormat="1" applyFont="1"/>
    <xf numFmtId="43" fontId="5" fillId="0" borderId="0" xfId="0" applyNumberFormat="1" applyFont="1"/>
    <xf numFmtId="182" fontId="5" fillId="0" borderId="0" xfId="0" applyNumberFormat="1" applyFont="1" applyBorder="1"/>
    <xf numFmtId="0" fontId="13" fillId="7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6" fontId="16" fillId="0" borderId="13" xfId="1" applyFont="1" applyBorder="1" applyAlignment="1" applyProtection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10" fontId="16" fillId="0" borderId="17" xfId="3" applyNumberFormat="1" applyFont="1" applyBorder="1" applyAlignment="1" applyProtection="1">
      <alignment horizontal="center" vertical="center"/>
    </xf>
    <xf numFmtId="166" fontId="16" fillId="0" borderId="17" xfId="1" applyFont="1" applyBorder="1" applyAlignment="1" applyProtection="1">
      <alignment horizontal="center" vertical="center"/>
    </xf>
    <xf numFmtId="0" fontId="16" fillId="0" borderId="12" xfId="0" applyFont="1" applyBorder="1" applyAlignment="1">
      <alignment horizontal="center" vertical="center"/>
    </xf>
    <xf numFmtId="10" fontId="16" fillId="0" borderId="23" xfId="3" applyNumberFormat="1" applyFont="1" applyBorder="1" applyAlignment="1" applyProtection="1">
      <alignment horizontal="center" vertical="center"/>
    </xf>
    <xf numFmtId="166" fontId="16" fillId="0" borderId="24" xfId="1" applyFont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/>
    </xf>
    <xf numFmtId="166" fontId="21" fillId="0" borderId="17" xfId="1" applyFont="1" applyBorder="1" applyAlignment="1" applyProtection="1">
      <alignment horizontal="center" vertical="center"/>
    </xf>
    <xf numFmtId="179" fontId="16" fillId="0" borderId="17" xfId="3" applyNumberFormat="1" applyFont="1" applyBorder="1" applyAlignment="1" applyProtection="1">
      <alignment horizontal="center" vertical="center"/>
    </xf>
    <xf numFmtId="10" fontId="16" fillId="0" borderId="17" xfId="0" applyNumberFormat="1" applyFont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9" fontId="24" fillId="0" borderId="17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64" fontId="48" fillId="0" borderId="27" xfId="2" applyFont="1" applyBorder="1" applyAlignment="1">
      <alignment horizontal="center" vertical="center" wrapText="1"/>
    </xf>
    <xf numFmtId="2" fontId="48" fillId="0" borderId="27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27" fillId="15" borderId="17" xfId="0" applyFont="1" applyFill="1" applyBorder="1" applyAlignment="1">
      <alignment horizontal="center" vertical="center"/>
    </xf>
    <xf numFmtId="0" fontId="49" fillId="15" borderId="17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4" borderId="17" xfId="0" applyFill="1" applyBorder="1" applyAlignment="1" applyProtection="1">
      <alignment horizontal="center" vertical="center"/>
      <protection locked="0"/>
    </xf>
    <xf numFmtId="9" fontId="0" fillId="4" borderId="17" xfId="0" applyNumberFormat="1" applyFill="1" applyBorder="1" applyAlignment="1" applyProtection="1">
      <alignment horizontal="center" vertical="center"/>
      <protection locked="0"/>
    </xf>
    <xf numFmtId="169" fontId="0" fillId="0" borderId="17" xfId="0" applyNumberFormat="1" applyBorder="1" applyAlignment="1">
      <alignment horizontal="center" vertical="center"/>
    </xf>
    <xf numFmtId="0" fontId="47" fillId="4" borderId="17" xfId="0" applyFont="1" applyFill="1" applyBorder="1" applyAlignment="1" applyProtection="1">
      <alignment horizontal="center" vertical="center"/>
      <protection locked="0"/>
    </xf>
    <xf numFmtId="169" fontId="0" fillId="4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69" fontId="51" fillId="0" borderId="16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 wrapText="1"/>
    </xf>
    <xf numFmtId="0" fontId="0" fillId="4" borderId="12" xfId="0" applyFont="1" applyFill="1" applyBorder="1" applyAlignment="1" applyProtection="1">
      <alignment horizontal="left"/>
      <protection locked="0"/>
    </xf>
    <xf numFmtId="182" fontId="48" fillId="0" borderId="28" xfId="0" applyNumberFormat="1" applyFont="1" applyBorder="1" applyAlignment="1">
      <alignment horizontal="right" vertical="center" wrapText="1"/>
    </xf>
    <xf numFmtId="0" fontId="48" fillId="0" borderId="28" xfId="0" applyFont="1" applyBorder="1" applyAlignment="1">
      <alignment horizontal="justify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66" fontId="16" fillId="0" borderId="17" xfId="1" applyFont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  <protection locked="0"/>
    </xf>
    <xf numFmtId="10" fontId="3" fillId="0" borderId="13" xfId="0" applyNumberFormat="1" applyFont="1" applyBorder="1" applyAlignment="1" applyProtection="1">
      <alignment horizontal="center"/>
      <protection locked="0"/>
    </xf>
    <xf numFmtId="0" fontId="3" fillId="0" borderId="15" xfId="2" applyNumberFormat="1" applyFont="1" applyBorder="1" applyAlignment="1" applyProtection="1">
      <alignment horizontal="center"/>
      <protection locked="0"/>
    </xf>
    <xf numFmtId="0" fontId="8" fillId="0" borderId="16" xfId="2" applyNumberFormat="1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right" wrapText="1"/>
      <protection locked="0"/>
    </xf>
    <xf numFmtId="0" fontId="9" fillId="5" borderId="17" xfId="0" applyFont="1" applyFill="1" applyBorder="1" applyAlignment="1" applyProtection="1">
      <alignment horizontal="center" wrapText="1"/>
      <protection locked="0"/>
    </xf>
    <xf numFmtId="0" fontId="12" fillId="6" borderId="1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9" fontId="13" fillId="0" borderId="19" xfId="0" applyNumberFormat="1" applyFont="1" applyBorder="1" applyAlignment="1">
      <alignment horizontal="center" vertical="center"/>
    </xf>
    <xf numFmtId="166" fontId="16" fillId="0" borderId="13" xfId="1" applyFont="1" applyBorder="1" applyAlignment="1" applyProtection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/>
    </xf>
    <xf numFmtId="0" fontId="14" fillId="0" borderId="17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15" fillId="10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29" fillId="0" borderId="12" xfId="0" applyFont="1" applyBorder="1" applyAlignment="1" applyProtection="1">
      <alignment horizontal="center"/>
      <protection locked="0"/>
    </xf>
    <xf numFmtId="0" fontId="15" fillId="8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10" fontId="16" fillId="0" borderId="17" xfId="3" applyNumberFormat="1" applyFont="1" applyBorder="1" applyAlignment="1" applyProtection="1">
      <alignment horizontal="center" vertical="center"/>
    </xf>
    <xf numFmtId="166" fontId="16" fillId="0" borderId="17" xfId="1" applyFont="1" applyBorder="1" applyAlignment="1" applyProtection="1">
      <alignment horizontal="center" vertical="center"/>
    </xf>
    <xf numFmtId="166" fontId="16" fillId="0" borderId="23" xfId="1" applyFont="1" applyBorder="1" applyAlignment="1" applyProtection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0" fontId="16" fillId="0" borderId="23" xfId="3" applyNumberFormat="1" applyFont="1" applyBorder="1" applyAlignment="1" applyProtection="1">
      <alignment horizontal="center" vertical="center"/>
    </xf>
    <xf numFmtId="10" fontId="16" fillId="0" borderId="24" xfId="3" applyNumberFormat="1" applyFont="1" applyBorder="1" applyAlignment="1" applyProtection="1">
      <alignment horizontal="center" vertical="center"/>
    </xf>
    <xf numFmtId="166" fontId="16" fillId="0" borderId="24" xfId="1" applyFont="1" applyBorder="1" applyAlignment="1" applyProtection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wrapText="1"/>
    </xf>
    <xf numFmtId="166" fontId="21" fillId="0" borderId="17" xfId="1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180" fontId="16" fillId="0" borderId="17" xfId="3" applyNumberFormat="1" applyFont="1" applyBorder="1" applyAlignment="1" applyProtection="1">
      <alignment horizontal="center" vertical="center"/>
    </xf>
    <xf numFmtId="179" fontId="16" fillId="0" borderId="17" xfId="3" applyNumberFormat="1" applyFont="1" applyBorder="1" applyAlignment="1" applyProtection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0" fontId="16" fillId="0" borderId="17" xfId="0" applyNumberFormat="1" applyFont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/>
    </xf>
    <xf numFmtId="0" fontId="36" fillId="11" borderId="17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169" fontId="24" fillId="7" borderId="17" xfId="0" applyNumberFormat="1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169" fontId="24" fillId="0" borderId="23" xfId="0" applyNumberFormat="1" applyFont="1" applyBorder="1" applyAlignment="1">
      <alignment horizontal="center" vertical="center"/>
    </xf>
    <xf numFmtId="169" fontId="24" fillId="0" borderId="18" xfId="0" applyNumberFormat="1" applyFont="1" applyBorder="1" applyAlignment="1">
      <alignment horizontal="center" vertical="center"/>
    </xf>
    <xf numFmtId="169" fontId="24" fillId="0" borderId="24" xfId="0" applyNumberFormat="1" applyFont="1" applyBorder="1" applyAlignment="1">
      <alignment horizontal="center" vertical="center"/>
    </xf>
    <xf numFmtId="169" fontId="24" fillId="0" borderId="17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9" fontId="24" fillId="0" borderId="13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7" fillId="11" borderId="17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8" fillId="3" borderId="12" xfId="0" applyFont="1" applyFill="1" applyBorder="1" applyAlignment="1" applyProtection="1">
      <alignment horizontal="center"/>
      <protection locked="0"/>
    </xf>
    <xf numFmtId="0" fontId="39" fillId="0" borderId="17" xfId="0" applyFont="1" applyBorder="1" applyAlignment="1" applyProtection="1">
      <alignment horizontal="left" wrapText="1"/>
      <protection locked="0"/>
    </xf>
    <xf numFmtId="0" fontId="40" fillId="0" borderId="16" xfId="2" applyNumberFormat="1" applyFont="1" applyBorder="1" applyAlignment="1" applyProtection="1">
      <alignment horizontal="center" wrapText="1"/>
      <protection locked="0"/>
    </xf>
    <xf numFmtId="0" fontId="39" fillId="0" borderId="12" xfId="0" applyFont="1" applyBorder="1" applyAlignment="1" applyProtection="1">
      <alignment horizontal="center" wrapText="1"/>
      <protection locked="0"/>
    </xf>
    <xf numFmtId="0" fontId="39" fillId="0" borderId="17" xfId="0" applyFont="1" applyBorder="1" applyAlignment="1" applyProtection="1">
      <alignment horizontal="center" wrapText="1"/>
      <protection locked="0"/>
    </xf>
    <xf numFmtId="0" fontId="41" fillId="4" borderId="17" xfId="0" applyFont="1" applyFill="1" applyBorder="1" applyAlignment="1" applyProtection="1">
      <alignment horizontal="center" wrapText="1"/>
      <protection locked="0"/>
    </xf>
    <xf numFmtId="0" fontId="13" fillId="6" borderId="17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169" fontId="14" fillId="0" borderId="14" xfId="0" applyNumberFormat="1" applyFont="1" applyBorder="1" applyAlignment="1">
      <alignment horizontal="left" vertical="center" wrapText="1"/>
    </xf>
    <xf numFmtId="169" fontId="14" fillId="0" borderId="17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0" fontId="13" fillId="10" borderId="17" xfId="0" applyFont="1" applyFill="1" applyBorder="1" applyAlignment="1">
      <alignment horizontal="left" vertical="center" wrapText="1"/>
    </xf>
    <xf numFmtId="0" fontId="43" fillId="0" borderId="23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1" fillId="10" borderId="17" xfId="0" applyFont="1" applyFill="1" applyBorder="1" applyAlignment="1" applyProtection="1">
      <alignment horizontal="center" wrapText="1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13" fillId="8" borderId="17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wrapText="1"/>
    </xf>
    <xf numFmtId="0" fontId="14" fillId="0" borderId="24" xfId="0" applyFont="1" applyBorder="1" applyAlignment="1">
      <alignment horizontal="left" vertical="center"/>
    </xf>
    <xf numFmtId="10" fontId="14" fillId="0" borderId="12" xfId="3" applyNumberFormat="1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left" vertical="center"/>
    </xf>
    <xf numFmtId="10" fontId="14" fillId="9" borderId="12" xfId="3" applyNumberFormat="1" applyFont="1" applyFill="1" applyBorder="1" applyAlignment="1" applyProtection="1">
      <alignment horizontal="center" vertical="center"/>
    </xf>
    <xf numFmtId="0" fontId="13" fillId="16" borderId="1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0" fontId="14" fillId="0" borderId="12" xfId="0" applyNumberFormat="1" applyFont="1" applyBorder="1" applyAlignment="1">
      <alignment horizontal="center" vertical="center"/>
    </xf>
    <xf numFmtId="166" fontId="14" fillId="0" borderId="17" xfId="1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30" fillId="0" borderId="0" xfId="0" applyFont="1" applyBorder="1"/>
    <xf numFmtId="0" fontId="13" fillId="7" borderId="17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/>
    </xf>
    <xf numFmtId="0" fontId="13" fillId="14" borderId="20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left" vertical="center"/>
    </xf>
    <xf numFmtId="0" fontId="14" fillId="14" borderId="12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10" fontId="14" fillId="0" borderId="17" xfId="0" applyNumberFormat="1" applyFont="1" applyBorder="1" applyAlignment="1">
      <alignment horizontal="center" vertical="center"/>
    </xf>
    <xf numFmtId="169" fontId="14" fillId="14" borderId="17" xfId="0" applyNumberFormat="1" applyFont="1" applyFill="1" applyBorder="1" applyAlignment="1">
      <alignment horizontal="center" vertical="center"/>
    </xf>
    <xf numFmtId="10" fontId="14" fillId="0" borderId="17" xfId="3" applyNumberFormat="1" applyFont="1" applyBorder="1" applyAlignment="1" applyProtection="1">
      <alignment horizontal="center" vertical="center"/>
    </xf>
  </cellXfs>
  <cellStyles count="5">
    <cellStyle name="Moeda" xfId="2" builtinId="4"/>
    <cellStyle name="Normal" xfId="0" builtinId="0"/>
    <cellStyle name="Porcentagem" xfId="3" builtinId="5"/>
    <cellStyle name="Texto Explicativo" xfId="4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D7E4BD"/>
      <rgbColor rgb="FFF2F2F2"/>
      <rgbColor rgb="FFB9CDE5"/>
      <rgbColor rgb="FFFF99CC"/>
      <rgbColor rgb="FFBFBFBF"/>
      <rgbColor rgb="FFD9D9D9"/>
      <rgbColor rgb="FF3366FF"/>
      <rgbColor rgb="FF33CCCC"/>
      <rgbColor rgb="FF99CC00"/>
      <rgbColor rgb="FFFFC0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952560</xdr:colOff>
      <xdr:row>19</xdr:row>
      <xdr:rowOff>138600</xdr:rowOff>
    </xdr:from>
    <xdr:to>
      <xdr:col>10</xdr:col>
      <xdr:colOff>99001</xdr:colOff>
      <xdr:row>21</xdr:row>
      <xdr:rowOff>641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33120" y="3998520"/>
          <a:ext cx="18360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952560</xdr:colOff>
      <xdr:row>19</xdr:row>
      <xdr:rowOff>138600</xdr:rowOff>
    </xdr:from>
    <xdr:to>
      <xdr:col>9</xdr:col>
      <xdr:colOff>99001</xdr:colOff>
      <xdr:row>21</xdr:row>
      <xdr:rowOff>76841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E080D2B-578C-491A-B8EE-BAD7468A9AB6}"/>
            </a:ext>
          </a:extLst>
        </xdr:cNvPr>
        <xdr:cNvSpPr/>
      </xdr:nvSpPr>
      <xdr:spPr>
        <a:xfrm>
          <a:off x="6934260" y="3996225"/>
          <a:ext cx="127516" cy="262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110498\Documents\CURSO%20IN%2005%20MACHADO%20-%20PLANILHAS\Planilhas%20cursos\PLANILHAS%20DE%20INSTITUI&#199;&#213;ES\DRF-sjcampos%20-%20Vigil&#226;ncia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x36_diurno - DRF"/>
      <sheetName val="12x36_noturno - DRF"/>
      <sheetName val="44hs - DRF"/>
      <sheetName val="12x36d-sso"/>
      <sheetName val="12x36not_sso"/>
      <sheetName val="44hs Mogi"/>
      <sheetName val="44hs jacarei"/>
      <sheetName val="Insumos Diversos"/>
      <sheetName val="Benefícios Mensais e Diários"/>
      <sheetName val="Resumo Geral"/>
    </sheetNames>
    <sheetDataSet>
      <sheetData sheetId="0" refreshError="1">
        <row r="4">
          <cell r="F4" t="str">
            <v>Data e Hora: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9" displayName="Tabela9" ref="A2:Q37" totalsRowShown="0">
  <tableColumns count="17">
    <tableColumn id="1" xr3:uid="{00000000-0010-0000-0000-000001000000}" name="CÓDIGO DO FPAS"/>
    <tableColumn id="2" xr3:uid="{00000000-0010-0000-0000-000002000000}" name="Prev. Social"/>
    <tableColumn id="3" xr3:uid="{00000000-0010-0000-0000-000003000000}" name="GIIL-RAT"/>
    <tableColumn id="4" xr3:uid="{00000000-0010-0000-0000-000004000000}" name="Salário- Educação"/>
    <tableColumn id="5" xr3:uid="{00000000-0010-0000-0000-000005000000}" name="INCRA"/>
    <tableColumn id="6" xr3:uid="{00000000-0010-0000-0000-000006000000}" name="SENAI"/>
    <tableColumn id="7" xr3:uid="{00000000-0010-0000-0000-000007000000}" name="SESI"/>
    <tableColumn id="8" xr3:uid="{00000000-0010-0000-0000-000008000000}" name="SENAC"/>
    <tableColumn id="9" xr3:uid="{00000000-0010-0000-0000-000009000000}" name="SESC"/>
    <tableColumn id="10" xr3:uid="{00000000-0010-0000-0000-00000A000000}" name="SEBRAE"/>
    <tableColumn id="11" xr3:uid="{00000000-0010-0000-0000-00000B000000}" name="DPC"/>
    <tableColumn id="12" xr3:uid="{00000000-0010-0000-0000-00000C000000}" name="Fundo Aeroviário"/>
    <tableColumn id="13" xr3:uid="{00000000-0010-0000-0000-00000D000000}" name="SENAR"/>
    <tableColumn id="14" xr3:uid="{00000000-0010-0000-0000-00000E000000}" name="SEST"/>
    <tableColumn id="15" xr3:uid="{00000000-0010-0000-0000-00000F000000}" name="SENAT"/>
    <tableColumn id="16" xr3:uid="{00000000-0010-0000-0000-000010000000}" name="SESCOOP"/>
    <tableColumn id="17" xr3:uid="{00000000-0010-0000-0000-000011000000}" name="Total Outras Ent. Ou Fun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receita.fazenda.gov.br/publico/Previdencia/GFIP/03%20-%20anexo_III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55"/>
  <sheetViews>
    <sheetView zoomScale="115" zoomScaleNormal="115" workbookViewId="0">
      <selection activeCell="N34" sqref="N34"/>
    </sheetView>
  </sheetViews>
  <sheetFormatPr defaultRowHeight="12.75" x14ac:dyDescent="0.2"/>
  <cols>
    <col min="1" max="1" width="4.5703125" style="13" customWidth="1"/>
    <col min="2" max="2" width="22.42578125" style="13" customWidth="1"/>
    <col min="3" max="3" width="13.28515625" style="13" customWidth="1"/>
    <col min="4" max="4" width="17.5703125" style="13" customWidth="1"/>
    <col min="5" max="5" width="14.140625" style="13" customWidth="1"/>
    <col min="6" max="6" width="17.7109375" style="13" customWidth="1"/>
    <col min="7" max="7" width="14.7109375" style="13" customWidth="1"/>
    <col min="8" max="8" width="35" style="13" hidden="1" customWidth="1"/>
    <col min="9" max="9" width="13.42578125" style="13" hidden="1" customWidth="1"/>
    <col min="10" max="10" width="32.7109375" style="13" hidden="1" customWidth="1"/>
    <col min="11" max="13" width="19.7109375" style="13" customWidth="1"/>
    <col min="14" max="14" width="16.85546875" style="13" customWidth="1"/>
    <col min="15" max="15" width="15.42578125" style="13" customWidth="1"/>
    <col min="16" max="16" width="17.28515625" style="13" customWidth="1"/>
    <col min="17" max="19" width="8.7109375" style="13" customWidth="1"/>
    <col min="20" max="24" width="9.140625" style="13" customWidth="1"/>
    <col min="25" max="1025" width="8.7109375" style="13" customWidth="1"/>
  </cols>
  <sheetData>
    <row r="1" spans="1:7" ht="15.75" x14ac:dyDescent="0.25">
      <c r="A1" s="416" t="s">
        <v>32</v>
      </c>
      <c r="B1" s="416"/>
      <c r="C1" s="416"/>
      <c r="D1" s="416"/>
      <c r="E1" s="416"/>
      <c r="F1" s="416"/>
      <c r="G1" s="416"/>
    </row>
    <row r="2" spans="1:7" ht="18.75" customHeight="1" x14ac:dyDescent="0.2">
      <c r="A2" s="14"/>
      <c r="B2" s="15" t="s">
        <v>33</v>
      </c>
      <c r="C2" s="417"/>
      <c r="D2" s="417"/>
      <c r="E2" s="417"/>
      <c r="F2" s="417"/>
      <c r="G2" s="417"/>
    </row>
    <row r="3" spans="1:7" ht="36.75" customHeight="1" x14ac:dyDescent="0.2">
      <c r="A3" s="14"/>
      <c r="B3" s="16" t="s">
        <v>34</v>
      </c>
      <c r="C3" s="418"/>
      <c r="D3" s="418"/>
      <c r="E3" s="17"/>
      <c r="F3" s="419" t="s">
        <v>35</v>
      </c>
      <c r="G3" s="419"/>
    </row>
    <row r="4" spans="1:7" x14ac:dyDescent="0.2">
      <c r="A4" s="18"/>
      <c r="B4" s="19" t="s">
        <v>36</v>
      </c>
      <c r="C4" s="20" t="s">
        <v>300</v>
      </c>
      <c r="D4" s="21"/>
      <c r="E4" s="21"/>
      <c r="F4" s="21"/>
      <c r="G4" s="22"/>
    </row>
    <row r="5" spans="1:7" ht="19.5" customHeight="1" x14ac:dyDescent="0.2">
      <c r="A5" s="14"/>
      <c r="B5" s="420" t="s">
        <v>37</v>
      </c>
      <c r="C5" s="420"/>
      <c r="D5" s="420"/>
      <c r="E5" s="23" t="s">
        <v>38</v>
      </c>
      <c r="F5" s="24"/>
      <c r="G5" s="25"/>
    </row>
    <row r="6" spans="1:7" ht="12.75" customHeight="1" x14ac:dyDescent="0.2">
      <c r="A6" s="18"/>
      <c r="B6" s="26" t="s">
        <v>39</v>
      </c>
      <c r="C6" s="27"/>
      <c r="D6" s="27"/>
      <c r="E6" s="27"/>
      <c r="F6" s="27"/>
      <c r="G6" s="28"/>
    </row>
    <row r="7" spans="1:7" ht="27" customHeight="1" x14ac:dyDescent="0.2">
      <c r="A7" s="18"/>
      <c r="B7" s="421" t="s">
        <v>40</v>
      </c>
      <c r="C7" s="421"/>
      <c r="D7" s="421"/>
      <c r="E7" s="421"/>
      <c r="F7" s="421"/>
      <c r="G7" s="421"/>
    </row>
    <row r="8" spans="1:7" ht="17.25" customHeight="1" x14ac:dyDescent="0.2">
      <c r="A8" s="18"/>
      <c r="B8" s="422" t="s">
        <v>41</v>
      </c>
      <c r="C8" s="422"/>
      <c r="D8" s="422"/>
      <c r="E8" s="422"/>
      <c r="F8" s="422"/>
      <c r="G8" s="422"/>
    </row>
    <row r="9" spans="1:7" x14ac:dyDescent="0.2">
      <c r="A9" s="29">
        <v>1</v>
      </c>
      <c r="B9" s="30" t="s">
        <v>42</v>
      </c>
      <c r="C9" s="31"/>
      <c r="D9" s="31"/>
      <c r="E9" s="31"/>
      <c r="F9" s="31"/>
      <c r="G9" s="32" t="s">
        <v>238</v>
      </c>
    </row>
    <row r="10" spans="1:7" x14ac:dyDescent="0.2">
      <c r="A10" s="29">
        <v>2</v>
      </c>
      <c r="B10" s="30" t="s">
        <v>43</v>
      </c>
      <c r="C10" s="31"/>
      <c r="D10" s="31"/>
      <c r="E10" s="31"/>
      <c r="F10" s="31"/>
      <c r="G10" s="33"/>
    </row>
    <row r="11" spans="1:7" x14ac:dyDescent="0.2">
      <c r="A11" s="29">
        <v>3</v>
      </c>
      <c r="B11" s="34" t="s">
        <v>44</v>
      </c>
      <c r="C11" s="35"/>
      <c r="D11" s="35"/>
      <c r="E11" s="35"/>
      <c r="F11" s="36"/>
      <c r="G11" s="32">
        <v>12</v>
      </c>
    </row>
    <row r="12" spans="1:7" ht="12.75" customHeight="1" x14ac:dyDescent="0.2">
      <c r="A12" s="29">
        <v>4</v>
      </c>
      <c r="B12" s="34" t="s">
        <v>45</v>
      </c>
      <c r="C12" s="35"/>
      <c r="D12" s="35"/>
      <c r="E12" s="35"/>
      <c r="F12" s="423" t="s">
        <v>322</v>
      </c>
      <c r="G12" s="423"/>
    </row>
    <row r="13" spans="1:7" x14ac:dyDescent="0.2">
      <c r="A13" s="29">
        <v>5</v>
      </c>
      <c r="B13" s="37" t="s">
        <v>46</v>
      </c>
      <c r="C13" s="38"/>
      <c r="D13" s="38"/>
      <c r="E13" s="38"/>
      <c r="F13" s="38"/>
      <c r="G13" s="355">
        <v>43952</v>
      </c>
    </row>
    <row r="14" spans="1:7" ht="12.75" customHeight="1" x14ac:dyDescent="0.2">
      <c r="A14" s="29">
        <v>6</v>
      </c>
      <c r="B14" s="34" t="s">
        <v>47</v>
      </c>
      <c r="C14" s="35"/>
      <c r="D14" s="35"/>
      <c r="E14" s="36"/>
      <c r="F14" s="424" t="s">
        <v>323</v>
      </c>
      <c r="G14" s="424"/>
    </row>
    <row r="15" spans="1:7" x14ac:dyDescent="0.2">
      <c r="A15" s="29">
        <v>7</v>
      </c>
      <c r="B15" s="34" t="s">
        <v>48</v>
      </c>
      <c r="C15" s="35"/>
      <c r="D15" s="35"/>
      <c r="E15" s="35"/>
      <c r="F15" s="35"/>
      <c r="G15" s="39">
        <v>1886.97</v>
      </c>
    </row>
    <row r="16" spans="1:7" ht="11.25" customHeight="1" x14ac:dyDescent="0.2">
      <c r="A16" s="40"/>
      <c r="B16" s="38"/>
      <c r="C16" s="38"/>
      <c r="D16" s="38"/>
      <c r="E16" s="38"/>
      <c r="F16" s="38"/>
      <c r="G16" s="38"/>
    </row>
    <row r="17" spans="1:11" s="41" customFormat="1" ht="13.5" customHeight="1" x14ac:dyDescent="0.2">
      <c r="B17" s="38"/>
      <c r="C17" s="42"/>
      <c r="D17" s="42"/>
      <c r="E17" s="42" t="s">
        <v>294</v>
      </c>
      <c r="F17" s="42">
        <f>1/4</f>
        <v>0.25</v>
      </c>
      <c r="G17" s="42">
        <f>365+0.25</f>
        <v>365.25</v>
      </c>
      <c r="H17" s="41" t="s">
        <v>295</v>
      </c>
      <c r="I17" s="41">
        <f>G17/12</f>
        <v>30.4375</v>
      </c>
    </row>
    <row r="18" spans="1:11" s="41" customFormat="1" ht="13.5" customHeight="1" x14ac:dyDescent="0.2">
      <c r="A18" s="425" t="s">
        <v>49</v>
      </c>
      <c r="B18" s="425"/>
      <c r="C18" s="425"/>
      <c r="D18" s="425"/>
      <c r="E18" s="425"/>
      <c r="F18" s="425"/>
      <c r="G18" s="425"/>
      <c r="H18" s="41" t="s">
        <v>296</v>
      </c>
      <c r="I18" s="41">
        <f>I17/2</f>
        <v>15.21875</v>
      </c>
    </row>
    <row r="19" spans="1:11" ht="15.95" customHeight="1" x14ac:dyDescent="0.2">
      <c r="A19" s="43">
        <v>1</v>
      </c>
      <c r="B19" s="426" t="s">
        <v>50</v>
      </c>
      <c r="C19" s="426"/>
      <c r="D19" s="426"/>
      <c r="E19" s="426"/>
      <c r="F19" s="426"/>
      <c r="G19" s="44" t="s">
        <v>51</v>
      </c>
    </row>
    <row r="20" spans="1:11" ht="15.95" customHeight="1" x14ac:dyDescent="0.2">
      <c r="A20" s="45" t="s">
        <v>52</v>
      </c>
      <c r="B20" s="427" t="s">
        <v>53</v>
      </c>
      <c r="C20" s="427"/>
      <c r="D20" s="427"/>
      <c r="E20" s="45" t="s">
        <v>54</v>
      </c>
      <c r="F20" s="47">
        <f>ROUND(I18,2)</f>
        <v>15.22</v>
      </c>
      <c r="G20" s="48">
        <f>G15</f>
        <v>1886.97</v>
      </c>
      <c r="H20" s="49"/>
      <c r="I20" s="50"/>
    </row>
    <row r="21" spans="1:11" ht="15.95" customHeight="1" x14ac:dyDescent="0.2">
      <c r="A21" s="51" t="s">
        <v>56</v>
      </c>
      <c r="B21" s="427" t="s">
        <v>57</v>
      </c>
      <c r="C21" s="427"/>
      <c r="D21" s="427"/>
      <c r="E21" s="427"/>
      <c r="F21" s="52">
        <v>0.3</v>
      </c>
      <c r="G21" s="53">
        <f>ROUND(F21*G20,2)</f>
        <v>566.09</v>
      </c>
    </row>
    <row r="22" spans="1:11" ht="15.95" customHeight="1" x14ac:dyDescent="0.2">
      <c r="A22" s="428" t="s">
        <v>58</v>
      </c>
      <c r="B22" s="429" t="s">
        <v>59</v>
      </c>
      <c r="C22" s="429"/>
      <c r="D22" s="429"/>
      <c r="E22" s="429"/>
      <c r="F22" s="54" t="s">
        <v>60</v>
      </c>
      <c r="G22" s="430">
        <f>ROUND(E23*F24*F20,2)</f>
        <v>0</v>
      </c>
      <c r="H22" s="56"/>
    </row>
    <row r="23" spans="1:11" ht="24.75" customHeight="1" x14ac:dyDescent="0.2">
      <c r="A23" s="428"/>
      <c r="B23" s="57" t="s">
        <v>61</v>
      </c>
      <c r="C23" s="58">
        <f>ROUND((G20+G21)/220,2)</f>
        <v>11.15</v>
      </c>
      <c r="D23" s="59" t="s">
        <v>62</v>
      </c>
      <c r="E23" s="60">
        <f>ROUND(C23*0.2,2)</f>
        <v>2.23</v>
      </c>
      <c r="F23" s="61">
        <f>60/52.5</f>
        <v>1.1428571428571428</v>
      </c>
      <c r="G23" s="430"/>
      <c r="H23" s="13" t="s">
        <v>289</v>
      </c>
      <c r="I23" s="13">
        <f>60/52.5</f>
        <v>1.1428571428571428</v>
      </c>
    </row>
    <row r="24" spans="1:11" ht="15.95" customHeight="1" x14ac:dyDescent="0.2">
      <c r="A24" s="428"/>
      <c r="B24" s="57" t="s">
        <v>63</v>
      </c>
      <c r="C24" s="62" t="s">
        <v>64</v>
      </c>
      <c r="D24" s="47">
        <v>0</v>
      </c>
      <c r="E24" s="62" t="s">
        <v>65</v>
      </c>
      <c r="F24" s="63">
        <f>D24*F23</f>
        <v>0</v>
      </c>
      <c r="G24" s="430"/>
      <c r="H24" s="359" t="s">
        <v>293</v>
      </c>
      <c r="I24" s="13">
        <f>7*I23</f>
        <v>8</v>
      </c>
    </row>
    <row r="25" spans="1:11" ht="15.95" customHeight="1" x14ac:dyDescent="0.2">
      <c r="A25" s="428"/>
      <c r="B25" s="64" t="s">
        <v>66</v>
      </c>
      <c r="C25" s="65"/>
      <c r="D25" s="51" t="s">
        <v>67</v>
      </c>
      <c r="E25" s="66">
        <f>C23*1.6</f>
        <v>17.84</v>
      </c>
      <c r="F25" s="67"/>
      <c r="G25" s="53"/>
    </row>
    <row r="26" spans="1:11" ht="15.95" customHeight="1" x14ac:dyDescent="0.2">
      <c r="A26" s="68" t="s">
        <v>68</v>
      </c>
      <c r="B26" s="69" t="s">
        <v>69</v>
      </c>
      <c r="C26" s="62" t="s">
        <v>70</v>
      </c>
      <c r="D26" s="70">
        <f>ROUND(F24-D24,2)</f>
        <v>0</v>
      </c>
      <c r="E26" s="71" t="s">
        <v>71</v>
      </c>
      <c r="F26" s="70">
        <f>ROUND(D26*F20,2)</f>
        <v>0</v>
      </c>
      <c r="G26" s="55">
        <f>ROUND(F26*C23,2)</f>
        <v>0</v>
      </c>
      <c r="H26" s="56"/>
    </row>
    <row r="27" spans="1:11" ht="15.95" customHeight="1" x14ac:dyDescent="0.2">
      <c r="A27" s="72" t="s">
        <v>72</v>
      </c>
      <c r="B27" s="431" t="s">
        <v>73</v>
      </c>
      <c r="C27" s="431"/>
      <c r="D27" s="431"/>
      <c r="E27" s="431"/>
      <c r="F27" s="431"/>
      <c r="G27" s="55"/>
      <c r="H27" s="73" t="s">
        <v>290</v>
      </c>
      <c r="I27" s="74" t="s">
        <v>291</v>
      </c>
      <c r="J27" s="41"/>
    </row>
    <row r="28" spans="1:11" ht="15.95" customHeight="1" x14ac:dyDescent="0.2">
      <c r="A28" s="45" t="s">
        <v>74</v>
      </c>
      <c r="B28" s="432" t="s">
        <v>75</v>
      </c>
      <c r="C28" s="432"/>
      <c r="D28" s="432"/>
      <c r="E28" s="432"/>
      <c r="F28" s="432"/>
      <c r="G28" s="53"/>
      <c r="H28" s="56" t="s">
        <v>292</v>
      </c>
      <c r="I28" s="74">
        <f>1/2</f>
        <v>0.5</v>
      </c>
      <c r="J28" s="41"/>
    </row>
    <row r="29" spans="1:11" ht="15.95" customHeight="1" x14ac:dyDescent="0.2">
      <c r="A29" s="45" t="s">
        <v>76</v>
      </c>
      <c r="B29" s="433" t="s">
        <v>77</v>
      </c>
      <c r="C29" s="433"/>
      <c r="D29" s="433"/>
      <c r="E29" s="433"/>
      <c r="F29" s="433"/>
      <c r="G29" s="75"/>
      <c r="H29" s="56"/>
      <c r="I29" s="74"/>
      <c r="J29" s="41"/>
    </row>
    <row r="30" spans="1:11" ht="15.95" customHeight="1" x14ac:dyDescent="0.2">
      <c r="A30" s="51"/>
      <c r="B30" s="434" t="s">
        <v>78</v>
      </c>
      <c r="C30" s="434"/>
      <c r="D30" s="434"/>
      <c r="E30" s="434"/>
      <c r="F30" s="434"/>
      <c r="G30" s="76">
        <f>SUM(G20:G29)</f>
        <v>2453.06</v>
      </c>
      <c r="H30" s="56"/>
      <c r="I30" s="74"/>
      <c r="J30" s="41"/>
    </row>
    <row r="31" spans="1:11" ht="19.5" customHeight="1" x14ac:dyDescent="0.2">
      <c r="A31" s="435" t="s">
        <v>79</v>
      </c>
      <c r="B31" s="435"/>
      <c r="C31" s="435"/>
      <c r="D31" s="435"/>
      <c r="E31" s="435"/>
      <c r="F31" s="435"/>
      <c r="G31" s="435"/>
      <c r="H31" s="56"/>
      <c r="I31" s="74"/>
      <c r="J31" s="41"/>
    </row>
    <row r="32" spans="1:11" ht="11.25" customHeight="1" x14ac:dyDescent="0.25">
      <c r="G32" s="56"/>
      <c r="I32" s="74"/>
      <c r="J32" s="77"/>
      <c r="K32" s="78"/>
    </row>
    <row r="33" spans="1:8" ht="15.95" customHeight="1" x14ac:dyDescent="0.2">
      <c r="A33" s="436" t="s">
        <v>80</v>
      </c>
      <c r="B33" s="436"/>
      <c r="C33" s="436"/>
      <c r="D33" s="436"/>
      <c r="E33" s="436"/>
      <c r="F33" s="436"/>
      <c r="G33" s="436"/>
    </row>
    <row r="34" spans="1:8" ht="15.95" customHeight="1" x14ac:dyDescent="0.2">
      <c r="A34" s="79"/>
      <c r="B34" s="80" t="s">
        <v>81</v>
      </c>
      <c r="C34" s="81"/>
      <c r="D34" s="81"/>
      <c r="E34" s="81"/>
      <c r="F34" s="82"/>
      <c r="G34" s="83" t="s">
        <v>82</v>
      </c>
    </row>
    <row r="35" spans="1:8" ht="15.95" customHeight="1" x14ac:dyDescent="0.2">
      <c r="A35" s="84" t="s">
        <v>52</v>
      </c>
      <c r="B35" s="437" t="s">
        <v>83</v>
      </c>
      <c r="C35" s="437"/>
      <c r="D35" s="437"/>
      <c r="E35" s="437"/>
      <c r="F35" s="85">
        <f>ROUND(1/12,4)</f>
        <v>8.3299999999999999E-2</v>
      </c>
      <c r="G35" s="86">
        <f>ROUND(F35*G30,2)</f>
        <v>204.34</v>
      </c>
    </row>
    <row r="36" spans="1:8" s="41" customFormat="1" ht="15.95" customHeight="1" x14ac:dyDescent="0.2">
      <c r="A36" s="87" t="s">
        <v>56</v>
      </c>
      <c r="B36" s="438" t="s">
        <v>84</v>
      </c>
      <c r="C36" s="438"/>
      <c r="D36" s="438"/>
      <c r="E36" s="438"/>
      <c r="F36" s="362">
        <f>3.025%</f>
        <v>3.0249999999999999E-2</v>
      </c>
      <c r="G36" s="90">
        <f>ROUND(F36*G30,2)</f>
        <v>74.209999999999994</v>
      </c>
    </row>
    <row r="37" spans="1:8" s="41" customFormat="1" ht="15.95" customHeight="1" x14ac:dyDescent="0.2">
      <c r="A37" s="91"/>
      <c r="B37" s="354"/>
      <c r="C37" s="354"/>
      <c r="D37" s="354"/>
      <c r="E37" s="354"/>
      <c r="F37" s="360"/>
      <c r="G37" s="94"/>
    </row>
    <row r="38" spans="1:8" ht="15.95" customHeight="1" x14ac:dyDescent="0.2">
      <c r="A38" s="91" t="s">
        <v>58</v>
      </c>
      <c r="B38" s="439" t="s">
        <v>85</v>
      </c>
      <c r="C38" s="439"/>
      <c r="D38" s="439"/>
      <c r="E38" s="439"/>
      <c r="F38" s="93">
        <v>7.8200000000000006E-2</v>
      </c>
      <c r="G38" s="94">
        <f>ROUND(F38*G30,2)</f>
        <v>191.83</v>
      </c>
    </row>
    <row r="39" spans="1:8" ht="15.95" customHeight="1" x14ac:dyDescent="0.2">
      <c r="A39" s="45"/>
      <c r="B39" s="427" t="s">
        <v>86</v>
      </c>
      <c r="C39" s="427"/>
      <c r="D39" s="427"/>
      <c r="E39" s="427"/>
      <c r="F39" s="95">
        <f>F35+F38+F36</f>
        <v>0.19175</v>
      </c>
      <c r="G39" s="96">
        <f>SUM(G35:G38)</f>
        <v>470.38</v>
      </c>
    </row>
    <row r="40" spans="1:8" ht="20.100000000000001" customHeight="1" x14ac:dyDescent="0.2">
      <c r="A40" s="440" t="s">
        <v>87</v>
      </c>
      <c r="B40" s="440"/>
      <c r="C40" s="440"/>
      <c r="D40" s="440"/>
      <c r="E40" s="440"/>
      <c r="F40" s="440"/>
      <c r="G40" s="440"/>
    </row>
    <row r="41" spans="1:8" ht="17.25" customHeight="1" x14ac:dyDescent="0.2">
      <c r="A41" s="441" t="s">
        <v>88</v>
      </c>
      <c r="B41" s="441"/>
      <c r="C41" s="441"/>
      <c r="D41" s="441"/>
      <c r="E41" s="441"/>
      <c r="F41" s="441"/>
      <c r="G41" s="441"/>
    </row>
    <row r="42" spans="1:8" ht="20.100000000000001" customHeight="1" x14ac:dyDescent="0.2">
      <c r="A42" s="440" t="s">
        <v>89</v>
      </c>
      <c r="B42" s="440"/>
      <c r="C42" s="440"/>
      <c r="D42" s="440"/>
      <c r="E42" s="440"/>
      <c r="F42" s="440"/>
      <c r="G42" s="440"/>
    </row>
    <row r="43" spans="1:8" ht="11.25" customHeight="1" x14ac:dyDescent="0.2">
      <c r="A43" s="97"/>
      <c r="B43" s="98"/>
      <c r="C43" s="98"/>
      <c r="D43" s="98"/>
      <c r="E43" s="98"/>
      <c r="F43" s="99"/>
      <c r="G43" s="100"/>
    </row>
    <row r="44" spans="1:8" ht="15.95" customHeight="1" x14ac:dyDescent="0.2">
      <c r="A44" s="101"/>
      <c r="B44" s="442" t="s">
        <v>90</v>
      </c>
      <c r="C44" s="442"/>
      <c r="D44" s="442"/>
      <c r="E44" s="442"/>
      <c r="F44" s="102" t="s">
        <v>91</v>
      </c>
      <c r="G44" s="103" t="s">
        <v>82</v>
      </c>
    </row>
    <row r="45" spans="1:8" ht="15.95" customHeight="1" x14ac:dyDescent="0.2">
      <c r="A45" s="45" t="s">
        <v>52</v>
      </c>
      <c r="B45" s="443" t="s">
        <v>92</v>
      </c>
      <c r="C45" s="443"/>
      <c r="D45" s="443"/>
      <c r="E45" s="443"/>
      <c r="F45" s="104">
        <v>0.2</v>
      </c>
      <c r="G45" s="96">
        <f>ROUND(F45*G30,2)</f>
        <v>490.61</v>
      </c>
      <c r="H45" s="356"/>
    </row>
    <row r="46" spans="1:8" ht="15.95" customHeight="1" x14ac:dyDescent="0.2">
      <c r="A46" s="45" t="s">
        <v>56</v>
      </c>
      <c r="B46" s="443" t="s">
        <v>93</v>
      </c>
      <c r="C46" s="443"/>
      <c r="D46" s="443"/>
      <c r="E46" s="443"/>
      <c r="F46" s="104">
        <v>1.4999999999999999E-2</v>
      </c>
      <c r="G46" s="53">
        <f>ROUND(F46*G30,2)</f>
        <v>36.799999999999997</v>
      </c>
      <c r="H46" s="356"/>
    </row>
    <row r="47" spans="1:8" ht="15.95" customHeight="1" x14ac:dyDescent="0.2">
      <c r="A47" s="45" t="s">
        <v>58</v>
      </c>
      <c r="B47" s="443" t="s">
        <v>94</v>
      </c>
      <c r="C47" s="443"/>
      <c r="D47" s="443"/>
      <c r="E47" s="443"/>
      <c r="F47" s="104">
        <v>0.01</v>
      </c>
      <c r="G47" s="53">
        <f>ROUND(F47*G30,2)</f>
        <v>24.53</v>
      </c>
    </row>
    <row r="48" spans="1:8" ht="15.95" customHeight="1" x14ac:dyDescent="0.2">
      <c r="A48" s="45" t="s">
        <v>68</v>
      </c>
      <c r="B48" s="443" t="s">
        <v>95</v>
      </c>
      <c r="C48" s="443"/>
      <c r="D48" s="443"/>
      <c r="E48" s="443"/>
      <c r="F48" s="104">
        <v>2E-3</v>
      </c>
      <c r="G48" s="53">
        <f>ROUND(F48*G30,2)</f>
        <v>4.91</v>
      </c>
    </row>
    <row r="49" spans="1:8" ht="27.95" customHeight="1" x14ac:dyDescent="0.2">
      <c r="A49" s="45" t="s">
        <v>72</v>
      </c>
      <c r="B49" s="439" t="s">
        <v>96</v>
      </c>
      <c r="C49" s="439"/>
      <c r="D49" s="439"/>
      <c r="E49" s="439"/>
      <c r="F49" s="104">
        <v>2.5000000000000001E-2</v>
      </c>
      <c r="G49" s="53">
        <f>ROUND(F49*G30,2)</f>
        <v>61.33</v>
      </c>
      <c r="H49" s="356"/>
    </row>
    <row r="50" spans="1:8" ht="15.95" customHeight="1" x14ac:dyDescent="0.2">
      <c r="A50" s="45" t="s">
        <v>74</v>
      </c>
      <c r="B50" s="443" t="s">
        <v>97</v>
      </c>
      <c r="C50" s="443"/>
      <c r="D50" s="443"/>
      <c r="E50" s="443"/>
      <c r="F50" s="104">
        <v>0.08</v>
      </c>
      <c r="G50" s="53">
        <f>ROUND(F50*G30,2)</f>
        <v>196.24</v>
      </c>
    </row>
    <row r="51" spans="1:8" ht="25.5" customHeight="1" x14ac:dyDescent="0.2">
      <c r="A51" s="45" t="s">
        <v>76</v>
      </c>
      <c r="B51" s="105" t="s">
        <v>98</v>
      </c>
      <c r="C51" s="106">
        <v>0.03</v>
      </c>
      <c r="D51" s="92" t="s">
        <v>99</v>
      </c>
      <c r="E51" s="107">
        <v>2</v>
      </c>
      <c r="F51" s="104">
        <f>ROUND(C51*E51,2)</f>
        <v>0.06</v>
      </c>
      <c r="G51" s="53">
        <f>ROUND(F51*G30,2)</f>
        <v>147.18</v>
      </c>
    </row>
    <row r="52" spans="1:8" ht="15.95" customHeight="1" x14ac:dyDescent="0.2">
      <c r="A52" s="45" t="s">
        <v>100</v>
      </c>
      <c r="B52" s="443" t="s">
        <v>101</v>
      </c>
      <c r="C52" s="443"/>
      <c r="D52" s="443"/>
      <c r="E52" s="443"/>
      <c r="F52" s="104">
        <v>6.0000000000000001E-3</v>
      </c>
      <c r="G52" s="53">
        <f>ROUND(G30*F52,2)</f>
        <v>14.72</v>
      </c>
    </row>
    <row r="53" spans="1:8" ht="15.95" customHeight="1" x14ac:dyDescent="0.2">
      <c r="A53" s="51"/>
      <c r="B53" s="444" t="s">
        <v>86</v>
      </c>
      <c r="C53" s="444"/>
      <c r="D53" s="444"/>
      <c r="E53" s="444"/>
      <c r="F53" s="108">
        <f>SUM(F45:F52)</f>
        <v>0.39800000000000008</v>
      </c>
      <c r="G53" s="76">
        <f>SUM(G45:G52)</f>
        <v>976.31999999999994</v>
      </c>
    </row>
    <row r="54" spans="1:8" ht="15.95" customHeight="1" x14ac:dyDescent="0.2">
      <c r="A54" s="445" t="s">
        <v>102</v>
      </c>
      <c r="B54" s="445"/>
      <c r="C54" s="445"/>
      <c r="D54" s="445"/>
      <c r="E54" s="445"/>
      <c r="F54" s="445"/>
      <c r="G54" s="445"/>
    </row>
    <row r="55" spans="1:8" ht="15.95" customHeight="1" x14ac:dyDescent="0.2">
      <c r="A55" s="441" t="s">
        <v>103</v>
      </c>
      <c r="B55" s="441"/>
      <c r="C55" s="441"/>
      <c r="D55" s="441"/>
      <c r="E55" s="441"/>
      <c r="F55" s="441"/>
      <c r="G55" s="441"/>
    </row>
    <row r="56" spans="1:8" ht="15.95" customHeight="1" x14ac:dyDescent="0.2">
      <c r="A56" s="446" t="s">
        <v>104</v>
      </c>
      <c r="B56" s="446"/>
      <c r="C56" s="446"/>
      <c r="D56" s="446"/>
      <c r="E56" s="446"/>
      <c r="F56" s="446"/>
      <c r="G56" s="446"/>
    </row>
    <row r="57" spans="1:8" ht="13.5" customHeight="1" x14ac:dyDescent="0.2">
      <c r="A57" s="109"/>
      <c r="B57" s="110"/>
      <c r="C57" s="109"/>
      <c r="D57" s="109"/>
      <c r="E57" s="109"/>
      <c r="F57" s="109"/>
      <c r="G57" s="111"/>
    </row>
    <row r="58" spans="1:8" ht="15.95" customHeight="1" x14ac:dyDescent="0.2">
      <c r="A58" s="112"/>
      <c r="B58" s="113" t="s">
        <v>105</v>
      </c>
      <c r="C58" s="114"/>
      <c r="D58" s="114"/>
      <c r="E58" s="114"/>
      <c r="F58" s="115"/>
      <c r="G58" s="83" t="s">
        <v>82</v>
      </c>
    </row>
    <row r="59" spans="1:8" ht="15.95" customHeight="1" x14ac:dyDescent="0.2">
      <c r="A59" s="45" t="s">
        <v>52</v>
      </c>
      <c r="B59" s="443" t="s">
        <v>106</v>
      </c>
      <c r="C59" s="443"/>
      <c r="D59" s="443"/>
      <c r="E59" s="443"/>
      <c r="F59" s="443"/>
      <c r="G59" s="379">
        <f>'Aux submod 2.3 -BENEFICIOS OM'!G10</f>
        <v>0</v>
      </c>
    </row>
    <row r="60" spans="1:8" ht="15.95" customHeight="1" x14ac:dyDescent="0.2">
      <c r="A60" s="45" t="s">
        <v>56</v>
      </c>
      <c r="B60" s="443" t="s">
        <v>107</v>
      </c>
      <c r="C60" s="443"/>
      <c r="D60" s="443"/>
      <c r="E60" s="443"/>
      <c r="F60" s="443"/>
      <c r="G60" s="379">
        <f>'Aux submod 2.3 -BENEFICIOS OM'!G13</f>
        <v>306.61</v>
      </c>
    </row>
    <row r="61" spans="1:8" ht="15.95" customHeight="1" x14ac:dyDescent="0.2">
      <c r="A61" s="45" t="s">
        <v>58</v>
      </c>
      <c r="B61" s="443" t="s">
        <v>108</v>
      </c>
      <c r="C61" s="443"/>
      <c r="D61" s="443"/>
      <c r="E61" s="443"/>
      <c r="F61" s="443"/>
      <c r="G61" s="53">
        <f>'Aux submod 2.3 -BENEFICIOS OM'!G16</f>
        <v>322.75</v>
      </c>
    </row>
    <row r="62" spans="1:8" ht="15.95" customHeight="1" x14ac:dyDescent="0.2">
      <c r="A62" s="45" t="s">
        <v>68</v>
      </c>
      <c r="B62" s="443" t="s">
        <v>109</v>
      </c>
      <c r="C62" s="443"/>
      <c r="D62" s="443"/>
      <c r="E62" s="443"/>
      <c r="F62" s="443"/>
      <c r="G62" s="53">
        <f>'Aux submod 2.3 -BENEFICIOS OM'!G18</f>
        <v>5</v>
      </c>
    </row>
    <row r="63" spans="1:8" ht="15.95" customHeight="1" x14ac:dyDescent="0.2">
      <c r="A63" s="45" t="s">
        <v>110</v>
      </c>
      <c r="B63" s="437" t="s">
        <v>111</v>
      </c>
      <c r="C63" s="437"/>
      <c r="D63" s="437"/>
      <c r="E63" s="437"/>
      <c r="F63" s="437"/>
      <c r="G63" s="53">
        <f>'Aux submod 2.3 -BENEFICIOS OM'!G20</f>
        <v>0</v>
      </c>
    </row>
    <row r="64" spans="1:8" ht="15.95" customHeight="1" x14ac:dyDescent="0.2">
      <c r="A64" s="72"/>
      <c r="B64" s="443" t="s">
        <v>112</v>
      </c>
      <c r="C64" s="443"/>
      <c r="D64" s="443"/>
      <c r="E64" s="443"/>
      <c r="F64" s="443"/>
      <c r="G64" s="55"/>
    </row>
    <row r="65" spans="1:8" ht="15.95" customHeight="1" x14ac:dyDescent="0.2">
      <c r="A65" s="45" t="s">
        <v>72</v>
      </c>
      <c r="B65" s="447" t="s">
        <v>113</v>
      </c>
      <c r="C65" s="447"/>
      <c r="D65" s="447"/>
      <c r="E65" s="447"/>
      <c r="F65" s="447"/>
      <c r="G65" s="53">
        <f>'Aux submod 2.3 -BENEFICIOS OM'!G21</f>
        <v>0</v>
      </c>
    </row>
    <row r="66" spans="1:8" ht="15.95" customHeight="1" x14ac:dyDescent="0.2">
      <c r="A66" s="51"/>
      <c r="B66" s="444" t="s">
        <v>114</v>
      </c>
      <c r="C66" s="444"/>
      <c r="D66" s="444"/>
      <c r="E66" s="444"/>
      <c r="F66" s="444"/>
      <c r="G66" s="76">
        <f>SUM(G59:G65)</f>
        <v>634.36</v>
      </c>
    </row>
    <row r="67" spans="1:8" ht="17.25" customHeight="1" x14ac:dyDescent="0.2">
      <c r="A67" s="445" t="s">
        <v>115</v>
      </c>
      <c r="B67" s="445"/>
      <c r="C67" s="445"/>
      <c r="D67" s="445"/>
      <c r="E67" s="445"/>
      <c r="F67" s="445"/>
      <c r="G67" s="445"/>
    </row>
    <row r="68" spans="1:8" ht="21.75" customHeight="1" x14ac:dyDescent="0.2">
      <c r="A68" s="441" t="s">
        <v>116</v>
      </c>
      <c r="B68" s="441"/>
      <c r="C68" s="441"/>
      <c r="D68" s="441"/>
      <c r="E68" s="441"/>
      <c r="F68" s="441"/>
      <c r="G68" s="441"/>
    </row>
    <row r="69" spans="1:8" ht="13.5" customHeight="1" x14ac:dyDescent="0.2">
      <c r="B69" s="117"/>
      <c r="C69" s="118"/>
      <c r="D69" s="119"/>
      <c r="E69" s="119"/>
      <c r="F69" s="119"/>
      <c r="G69" s="119"/>
    </row>
    <row r="70" spans="1:8" ht="15.95" customHeight="1" x14ac:dyDescent="0.2">
      <c r="A70" s="120">
        <v>2</v>
      </c>
      <c r="B70" s="121" t="s">
        <v>117</v>
      </c>
      <c r="C70" s="122"/>
      <c r="D70" s="123"/>
      <c r="E70" s="123"/>
      <c r="F70" s="124"/>
      <c r="G70" s="125" t="s">
        <v>82</v>
      </c>
    </row>
    <row r="71" spans="1:8" ht="15.95" customHeight="1" x14ac:dyDescent="0.2">
      <c r="A71" s="126" t="s">
        <v>118</v>
      </c>
      <c r="B71" s="127" t="s">
        <v>119</v>
      </c>
      <c r="C71" s="128"/>
      <c r="D71" s="129"/>
      <c r="E71" s="129"/>
      <c r="F71" s="129"/>
      <c r="G71" s="130">
        <f>G39</f>
        <v>470.38</v>
      </c>
    </row>
    <row r="72" spans="1:8" ht="15.95" customHeight="1" x14ac:dyDescent="0.2">
      <c r="A72" s="126" t="s">
        <v>120</v>
      </c>
      <c r="B72" s="127" t="s">
        <v>121</v>
      </c>
      <c r="C72" s="128"/>
      <c r="D72" s="129"/>
      <c r="E72" s="129"/>
      <c r="F72" s="129"/>
      <c r="G72" s="130">
        <f>G53</f>
        <v>976.31999999999994</v>
      </c>
    </row>
    <row r="73" spans="1:8" ht="15.95" customHeight="1" x14ac:dyDescent="0.2">
      <c r="A73" s="126" t="s">
        <v>122</v>
      </c>
      <c r="B73" s="127" t="s">
        <v>123</v>
      </c>
      <c r="C73" s="128"/>
      <c r="D73" s="129"/>
      <c r="E73" s="129"/>
      <c r="F73" s="129"/>
      <c r="G73" s="130">
        <f>G66</f>
        <v>634.36</v>
      </c>
    </row>
    <row r="74" spans="1:8" ht="15.95" customHeight="1" x14ac:dyDescent="0.2">
      <c r="A74" s="126"/>
      <c r="B74" s="448" t="s">
        <v>124</v>
      </c>
      <c r="C74" s="448"/>
      <c r="D74" s="448"/>
      <c r="E74" s="448"/>
      <c r="F74" s="448"/>
      <c r="G74" s="131">
        <f>SUM(G71:G73)</f>
        <v>2081.06</v>
      </c>
    </row>
    <row r="75" spans="1:8" ht="20.100000000000001" customHeight="1" x14ac:dyDescent="0.2">
      <c r="B75" s="117"/>
      <c r="C75" s="118"/>
      <c r="D75" s="119"/>
      <c r="E75" s="119"/>
      <c r="F75" s="119"/>
      <c r="G75" s="119"/>
    </row>
    <row r="76" spans="1:8" s="132" customFormat="1" ht="15.95" customHeight="1" x14ac:dyDescent="0.2">
      <c r="A76" s="449" t="s">
        <v>125</v>
      </c>
      <c r="B76" s="449"/>
      <c r="C76" s="449"/>
      <c r="D76" s="449"/>
      <c r="E76" s="449"/>
      <c r="F76" s="449"/>
      <c r="G76" s="449"/>
    </row>
    <row r="77" spans="1:8" s="132" customFormat="1" ht="15.95" customHeight="1" x14ac:dyDescent="0.2">
      <c r="A77" s="133">
        <v>3</v>
      </c>
      <c r="B77" s="450" t="s">
        <v>126</v>
      </c>
      <c r="C77" s="450"/>
      <c r="D77" s="450"/>
      <c r="E77" s="450"/>
      <c r="F77" s="450"/>
      <c r="G77" s="135" t="s">
        <v>51</v>
      </c>
    </row>
    <row r="78" spans="1:8" s="132" customFormat="1" ht="15.95" customHeight="1" x14ac:dyDescent="0.2">
      <c r="A78" s="443" t="s">
        <v>52</v>
      </c>
      <c r="B78" s="443" t="s">
        <v>127</v>
      </c>
      <c r="C78" s="443"/>
      <c r="D78" s="443"/>
      <c r="E78" s="87" t="s">
        <v>128</v>
      </c>
      <c r="F78" s="451">
        <f>((E79/30)/12)*D79</f>
        <v>4.1666666666666666E-3</v>
      </c>
      <c r="G78" s="452">
        <f>ROUND(G30*F78,2)</f>
        <v>10.220000000000001</v>
      </c>
    </row>
    <row r="79" spans="1:8" s="132" customFormat="1" ht="15.95" customHeight="1" x14ac:dyDescent="0.2">
      <c r="A79" s="443"/>
      <c r="B79" s="443" t="s">
        <v>129</v>
      </c>
      <c r="C79" s="443"/>
      <c r="D79" s="106">
        <v>0.05</v>
      </c>
      <c r="E79" s="136">
        <v>30</v>
      </c>
      <c r="F79" s="451"/>
      <c r="G79" s="452"/>
      <c r="H79" s="137"/>
    </row>
    <row r="80" spans="1:8" ht="15.95" customHeight="1" x14ac:dyDescent="0.2">
      <c r="A80" s="87" t="s">
        <v>56</v>
      </c>
      <c r="B80" s="437" t="s">
        <v>130</v>
      </c>
      <c r="C80" s="437"/>
      <c r="D80" s="437"/>
      <c r="E80" s="437"/>
      <c r="F80" s="89">
        <f>F50*F78</f>
        <v>3.3333333333333332E-4</v>
      </c>
      <c r="G80" s="53">
        <f>ROUND(G30*F80,2)</f>
        <v>0.82</v>
      </c>
    </row>
    <row r="81" spans="1:8" ht="15.95" customHeight="1" x14ac:dyDescent="0.2">
      <c r="A81" s="138" t="s">
        <v>58</v>
      </c>
      <c r="B81" s="443" t="s">
        <v>131</v>
      </c>
      <c r="C81" s="443"/>
      <c r="D81" s="443"/>
      <c r="E81" s="443"/>
      <c r="F81" s="139">
        <f>F80*40%</f>
        <v>1.3333333333333334E-4</v>
      </c>
      <c r="G81" s="53">
        <f>ROUND(G30*F81,2)</f>
        <v>0.33</v>
      </c>
      <c r="H81" s="13" t="s">
        <v>297</v>
      </c>
    </row>
    <row r="82" spans="1:8" ht="15.95" customHeight="1" x14ac:dyDescent="0.2">
      <c r="A82" s="437" t="s">
        <v>132</v>
      </c>
      <c r="B82" s="447" t="s">
        <v>133</v>
      </c>
      <c r="C82" s="447"/>
      <c r="D82" s="447"/>
      <c r="E82" s="447"/>
      <c r="F82" s="451">
        <f>(7/30)/E83</f>
        <v>1.9444444444444445E-2</v>
      </c>
      <c r="G82" s="453">
        <f>ROUND(G30*F82,2)</f>
        <v>47.7</v>
      </c>
    </row>
    <row r="83" spans="1:8" ht="15.95" customHeight="1" x14ac:dyDescent="0.2">
      <c r="A83" s="437"/>
      <c r="B83" s="140" t="s">
        <v>129</v>
      </c>
      <c r="C83" s="141">
        <v>1</v>
      </c>
      <c r="D83" s="142" t="s">
        <v>134</v>
      </c>
      <c r="E83" s="143">
        <v>12</v>
      </c>
      <c r="F83" s="451"/>
      <c r="G83" s="453"/>
    </row>
    <row r="84" spans="1:8" ht="15.95" customHeight="1" x14ac:dyDescent="0.2">
      <c r="A84" s="437" t="s">
        <v>135</v>
      </c>
      <c r="B84" s="454" t="s">
        <v>136</v>
      </c>
      <c r="C84" s="438"/>
      <c r="D84" s="455"/>
      <c r="E84" s="87" t="s">
        <v>128</v>
      </c>
      <c r="F84" s="456">
        <f>((E85/30)/12)*D85</f>
        <v>3.8888888888888892E-4</v>
      </c>
      <c r="G84" s="453">
        <f>ROUND(G$30*F84,2)</f>
        <v>0.95</v>
      </c>
    </row>
    <row r="85" spans="1:8" ht="15.95" customHeight="1" x14ac:dyDescent="0.2">
      <c r="A85" s="447"/>
      <c r="B85" s="454" t="s">
        <v>129</v>
      </c>
      <c r="C85" s="455"/>
      <c r="D85" s="106">
        <v>0.02</v>
      </c>
      <c r="E85" s="136">
        <v>7</v>
      </c>
      <c r="F85" s="457"/>
      <c r="G85" s="458">
        <f>ROUND(G$30*F85,2)</f>
        <v>0</v>
      </c>
    </row>
    <row r="86" spans="1:8" ht="15.95" customHeight="1" x14ac:dyDescent="0.2">
      <c r="A86" s="116" t="s">
        <v>72</v>
      </c>
      <c r="B86" s="443" t="s">
        <v>137</v>
      </c>
      <c r="C86" s="443"/>
      <c r="D86" s="443"/>
      <c r="E86" s="443"/>
      <c r="F86" s="89">
        <f>(F82+F84)*$F$53</f>
        <v>7.8936666666666686E-3</v>
      </c>
      <c r="G86" s="53">
        <f>ROUND(G$30*F86,2)</f>
        <v>19.36</v>
      </c>
    </row>
    <row r="87" spans="1:8" ht="15.95" customHeight="1" x14ac:dyDescent="0.2">
      <c r="A87" s="87" t="s">
        <v>74</v>
      </c>
      <c r="B87" s="443" t="s">
        <v>298</v>
      </c>
      <c r="C87" s="443"/>
      <c r="D87" s="443"/>
      <c r="E87" s="443"/>
      <c r="F87" s="104">
        <v>0.04</v>
      </c>
      <c r="G87" s="53">
        <f>ROUND(G$30*F87,2)</f>
        <v>98.12</v>
      </c>
      <c r="H87" s="356">
        <f>(1+1/12+(1/12+1/12/3))*0.08*0.4</f>
        <v>3.8222222222222227E-2</v>
      </c>
    </row>
    <row r="88" spans="1:8" ht="15.95" customHeight="1" x14ac:dyDescent="0.2">
      <c r="A88" s="87"/>
      <c r="B88" s="459" t="s">
        <v>86</v>
      </c>
      <c r="C88" s="459"/>
      <c r="D88" s="459"/>
      <c r="E88" s="459"/>
      <c r="F88" s="145">
        <f>SUM(F78:F87)</f>
        <v>7.2360333333333332E-2</v>
      </c>
      <c r="G88" s="96">
        <f>SUM(G78:G87)</f>
        <v>177.5</v>
      </c>
    </row>
    <row r="89" spans="1:8" s="41" customFormat="1" ht="13.5" customHeight="1" x14ac:dyDescent="0.2"/>
    <row r="90" spans="1:8" s="41" customFormat="1" ht="20.100000000000001" customHeight="1" x14ac:dyDescent="0.2">
      <c r="A90" s="449" t="s">
        <v>139</v>
      </c>
      <c r="B90" s="449"/>
      <c r="C90" s="449"/>
      <c r="D90" s="449"/>
      <c r="E90" s="449"/>
      <c r="F90" s="449"/>
      <c r="G90" s="449"/>
    </row>
    <row r="91" spans="1:8" s="41" customFormat="1" ht="20.100000000000001" customHeight="1" x14ac:dyDescent="0.2">
      <c r="A91" s="43" t="s">
        <v>140</v>
      </c>
      <c r="B91" s="450" t="s">
        <v>141</v>
      </c>
      <c r="C91" s="450"/>
      <c r="D91" s="450"/>
      <c r="E91" s="450"/>
      <c r="F91" s="450"/>
      <c r="G91" s="135" t="s">
        <v>82</v>
      </c>
    </row>
    <row r="92" spans="1:8" s="41" customFormat="1" ht="39.75" customHeight="1" x14ac:dyDescent="0.2">
      <c r="A92" s="146"/>
      <c r="B92" s="460" t="s">
        <v>288</v>
      </c>
      <c r="C92" s="460"/>
      <c r="D92" s="460"/>
      <c r="E92" s="460"/>
      <c r="F92" s="460"/>
      <c r="G92" s="147">
        <f>G30+G35+G36</f>
        <v>2731.61</v>
      </c>
    </row>
    <row r="93" spans="1:8" s="41" customFormat="1" ht="15.95" customHeight="1" x14ac:dyDescent="0.2">
      <c r="A93" s="116" t="s">
        <v>52</v>
      </c>
      <c r="B93" s="447" t="s">
        <v>142</v>
      </c>
      <c r="C93" s="447"/>
      <c r="D93" s="447"/>
      <c r="E93" s="447"/>
      <c r="F93" s="361">
        <f>9.075%</f>
        <v>9.0749999999999997E-2</v>
      </c>
      <c r="G93" s="148">
        <f>ROUND(G30*F93,2)</f>
        <v>222.62</v>
      </c>
    </row>
    <row r="94" spans="1:8" s="41" customFormat="1" ht="15.95" customHeight="1" x14ac:dyDescent="0.2">
      <c r="A94" s="87" t="s">
        <v>56</v>
      </c>
      <c r="B94" s="443" t="s">
        <v>143</v>
      </c>
      <c r="C94" s="443"/>
      <c r="D94" s="443"/>
      <c r="E94" s="443">
        <v>1.4999999999999999E-2</v>
      </c>
      <c r="F94" s="451">
        <f>E95/30/12</f>
        <v>1.3888888888888888E-2</v>
      </c>
      <c r="G94" s="461">
        <f>ROUND(G$92*F94,2)</f>
        <v>37.94</v>
      </c>
    </row>
    <row r="95" spans="1:8" s="41" customFormat="1" ht="15.95" customHeight="1" x14ac:dyDescent="0.2">
      <c r="A95" s="87"/>
      <c r="B95" s="462" t="s">
        <v>144</v>
      </c>
      <c r="C95" s="462"/>
      <c r="D95" s="462"/>
      <c r="E95" s="136">
        <v>5</v>
      </c>
      <c r="F95" s="451">
        <f>(E96/30)/12</f>
        <v>1.3888888888888888E-2</v>
      </c>
      <c r="G95" s="461">
        <f t="shared" ref="G95:G102" si="0">ROUND(G$92*F95,2)</f>
        <v>37.94</v>
      </c>
    </row>
    <row r="96" spans="1:8" s="41" customFormat="1" ht="27" customHeight="1" x14ac:dyDescent="0.2">
      <c r="A96" s="87" t="s">
        <v>58</v>
      </c>
      <c r="B96" s="439" t="s">
        <v>145</v>
      </c>
      <c r="C96" s="439"/>
      <c r="D96" s="92" t="s">
        <v>146</v>
      </c>
      <c r="E96" s="136">
        <v>5</v>
      </c>
      <c r="F96" s="463">
        <f>((E96/30)/12)*E97</f>
        <v>2.0833333333333332E-4</v>
      </c>
      <c r="G96" s="90">
        <f>ROUND(G$92*F96,2)</f>
        <v>0.56999999999999995</v>
      </c>
    </row>
    <row r="97" spans="1:8" s="41" customFormat="1" ht="15.95" customHeight="1" x14ac:dyDescent="0.2">
      <c r="A97" s="87"/>
      <c r="B97" s="443" t="s">
        <v>129</v>
      </c>
      <c r="C97" s="443"/>
      <c r="D97" s="443"/>
      <c r="E97" s="106">
        <v>1.4999999999999999E-2</v>
      </c>
      <c r="F97" s="463">
        <f>((E97/30)/12)*E98</f>
        <v>0</v>
      </c>
      <c r="G97" s="90">
        <f t="shared" si="0"/>
        <v>0</v>
      </c>
    </row>
    <row r="98" spans="1:8" s="41" customFormat="1" ht="15.95" customHeight="1" x14ac:dyDescent="0.2">
      <c r="A98" s="87" t="s">
        <v>68</v>
      </c>
      <c r="B98" s="443" t="s">
        <v>147</v>
      </c>
      <c r="C98" s="443"/>
      <c r="D98" s="443"/>
      <c r="E98" s="443"/>
      <c r="F98" s="464">
        <f>E99/30/12</f>
        <v>2.7777777777777779E-3</v>
      </c>
      <c r="G98" s="90">
        <f>ROUND(G$92*F98,2)</f>
        <v>7.59</v>
      </c>
    </row>
    <row r="99" spans="1:8" s="41" customFormat="1" ht="15.95" customHeight="1" x14ac:dyDescent="0.2">
      <c r="A99" s="87"/>
      <c r="B99" s="443" t="s">
        <v>144</v>
      </c>
      <c r="C99" s="443"/>
      <c r="D99" s="443"/>
      <c r="E99" s="136">
        <v>1</v>
      </c>
      <c r="F99" s="464"/>
      <c r="G99" s="90">
        <f t="shared" si="0"/>
        <v>0</v>
      </c>
    </row>
    <row r="100" spans="1:8" s="41" customFormat="1" ht="28.5" customHeight="1" x14ac:dyDescent="0.2">
      <c r="A100" s="87" t="s">
        <v>72</v>
      </c>
      <c r="B100" s="439" t="s">
        <v>148</v>
      </c>
      <c r="C100" s="439"/>
      <c r="D100" s="92" t="s">
        <v>149</v>
      </c>
      <c r="E100" s="136">
        <v>15</v>
      </c>
      <c r="F100" s="451">
        <f>((E100/30)/12)*E101</f>
        <v>3.3333333333333331E-3</v>
      </c>
      <c r="G100" s="90">
        <f>ROUND(G$92*F100,2)</f>
        <v>9.11</v>
      </c>
    </row>
    <row r="101" spans="1:8" s="41" customFormat="1" ht="15.95" customHeight="1" x14ac:dyDescent="0.2">
      <c r="A101" s="87"/>
      <c r="B101" s="443" t="s">
        <v>129</v>
      </c>
      <c r="C101" s="443"/>
      <c r="D101" s="443"/>
      <c r="E101" s="106">
        <v>0.08</v>
      </c>
      <c r="F101" s="451"/>
      <c r="G101" s="90">
        <f t="shared" si="0"/>
        <v>0</v>
      </c>
    </row>
    <row r="102" spans="1:8" s="41" customFormat="1" ht="27.75" customHeight="1" x14ac:dyDescent="0.2">
      <c r="A102" s="87" t="s">
        <v>74</v>
      </c>
      <c r="B102" s="439" t="s">
        <v>150</v>
      </c>
      <c r="C102" s="439"/>
      <c r="D102" s="92" t="s">
        <v>151</v>
      </c>
      <c r="E102" s="149">
        <v>0.02</v>
      </c>
      <c r="F102" s="150">
        <v>6.9999999999999999E-4</v>
      </c>
      <c r="G102" s="90">
        <f t="shared" si="0"/>
        <v>1.91</v>
      </c>
    </row>
    <row r="103" spans="1:8" s="41" customFormat="1" ht="15.95" customHeight="1" x14ac:dyDescent="0.2">
      <c r="A103" s="87"/>
      <c r="B103" s="443" t="s">
        <v>152</v>
      </c>
      <c r="C103" s="443"/>
      <c r="D103" s="443"/>
      <c r="E103" s="443"/>
      <c r="F103" s="443"/>
      <c r="G103" s="90">
        <f>SUM(G96:G102)+G94+G93</f>
        <v>279.74</v>
      </c>
    </row>
    <row r="104" spans="1:8" s="41" customFormat="1" ht="28.5" customHeight="1" x14ac:dyDescent="0.2">
      <c r="A104" s="87" t="s">
        <v>76</v>
      </c>
      <c r="B104" s="439" t="s">
        <v>153</v>
      </c>
      <c r="C104" s="439"/>
      <c r="D104" s="439"/>
      <c r="E104" s="439"/>
      <c r="F104" s="151"/>
      <c r="G104" s="90">
        <f>G103*F53</f>
        <v>111.33652000000002</v>
      </c>
      <c r="H104" s="152"/>
    </row>
    <row r="105" spans="1:8" s="41" customFormat="1" ht="15.95" customHeight="1" x14ac:dyDescent="0.2">
      <c r="A105" s="87"/>
      <c r="B105" s="465" t="s">
        <v>154</v>
      </c>
      <c r="C105" s="465"/>
      <c r="D105" s="465"/>
      <c r="E105" s="465"/>
      <c r="F105" s="95"/>
      <c r="G105" s="76">
        <f>SUM(G103:G104)</f>
        <v>391.07652000000002</v>
      </c>
    </row>
    <row r="106" spans="1:8" s="41" customFormat="1" ht="18.75" customHeight="1" x14ac:dyDescent="0.2">
      <c r="A106" s="441" t="s">
        <v>155</v>
      </c>
      <c r="B106" s="441"/>
      <c r="C106" s="441"/>
      <c r="D106" s="441"/>
      <c r="E106" s="441"/>
      <c r="F106" s="441"/>
      <c r="G106" s="441"/>
    </row>
    <row r="107" spans="1:8" s="41" customFormat="1" ht="18.75" customHeight="1" x14ac:dyDescent="0.2">
      <c r="A107" s="441" t="s">
        <v>156</v>
      </c>
      <c r="B107" s="441"/>
      <c r="C107" s="441"/>
      <c r="D107" s="441"/>
      <c r="E107" s="441"/>
      <c r="F107" s="441"/>
      <c r="G107" s="441"/>
    </row>
    <row r="108" spans="1:8" s="41" customFormat="1" ht="20.100000000000001" customHeight="1" x14ac:dyDescent="0.2">
      <c r="E108" s="364"/>
      <c r="F108" s="363"/>
      <c r="H108" s="365"/>
    </row>
    <row r="109" spans="1:8" s="41" customFormat="1" ht="15.95" customHeight="1" x14ac:dyDescent="0.2">
      <c r="A109" s="153"/>
      <c r="B109" s="154" t="s">
        <v>157</v>
      </c>
      <c r="C109" s="155"/>
      <c r="D109" s="155"/>
      <c r="E109" s="155"/>
      <c r="F109" s="156"/>
      <c r="G109" s="157" t="s">
        <v>82</v>
      </c>
    </row>
    <row r="110" spans="1:8" s="41" customFormat="1" ht="15.95" customHeight="1" x14ac:dyDescent="0.2">
      <c r="A110" s="158" t="s">
        <v>52</v>
      </c>
      <c r="B110" s="159" t="s">
        <v>158</v>
      </c>
      <c r="C110" s="160"/>
      <c r="D110" s="160"/>
      <c r="E110" s="160"/>
      <c r="F110" s="95"/>
      <c r="G110" s="161">
        <v>0</v>
      </c>
      <c r="H110" s="364">
        <f>284.02</f>
        <v>284.02</v>
      </c>
    </row>
    <row r="111" spans="1:8" s="41" customFormat="1" ht="20.100000000000001" customHeight="1" x14ac:dyDescent="0.2">
      <c r="A111" s="97"/>
      <c r="B111" s="98"/>
      <c r="C111" s="98"/>
      <c r="D111" s="98"/>
      <c r="E111" s="98"/>
      <c r="F111" s="162"/>
      <c r="G111" s="163"/>
      <c r="H111" s="368">
        <f>G110-H110</f>
        <v>-284.02</v>
      </c>
    </row>
    <row r="112" spans="1:8" s="41" customFormat="1" ht="15.95" customHeight="1" x14ac:dyDescent="0.2">
      <c r="A112" s="164">
        <v>4</v>
      </c>
      <c r="B112" s="165" t="s">
        <v>159</v>
      </c>
      <c r="C112" s="166"/>
      <c r="D112" s="167"/>
      <c r="E112" s="167"/>
      <c r="F112" s="168"/>
      <c r="G112" s="169" t="s">
        <v>82</v>
      </c>
    </row>
    <row r="113" spans="1:7" s="41" customFormat="1" ht="15.95" customHeight="1" x14ac:dyDescent="0.2">
      <c r="A113" s="87" t="s">
        <v>160</v>
      </c>
      <c r="B113" s="170" t="s">
        <v>161</v>
      </c>
      <c r="C113" s="88"/>
      <c r="D113" s="88"/>
      <c r="E113" s="88"/>
      <c r="F113" s="171"/>
      <c r="G113" s="53">
        <f>G105</f>
        <v>391.07652000000002</v>
      </c>
    </row>
    <row r="114" spans="1:7" s="41" customFormat="1" ht="15.95" customHeight="1" x14ac:dyDescent="0.2">
      <c r="A114" s="87" t="s">
        <v>162</v>
      </c>
      <c r="B114" s="170" t="s">
        <v>163</v>
      </c>
      <c r="C114" s="88"/>
      <c r="D114" s="88"/>
      <c r="E114" s="88"/>
      <c r="F114" s="171"/>
      <c r="G114" s="53">
        <f>G110</f>
        <v>0</v>
      </c>
    </row>
    <row r="115" spans="1:7" s="41" customFormat="1" ht="15.95" customHeight="1" x14ac:dyDescent="0.2">
      <c r="A115" s="45"/>
      <c r="B115" s="144" t="s">
        <v>86</v>
      </c>
      <c r="C115" s="172"/>
      <c r="D115" s="172"/>
      <c r="E115" s="172"/>
      <c r="F115" s="173"/>
      <c r="G115" s="96">
        <f>SUM(G113:G114)</f>
        <v>391.07652000000002</v>
      </c>
    </row>
    <row r="116" spans="1:7" s="41" customFormat="1" ht="15.75" customHeight="1" x14ac:dyDescent="0.2">
      <c r="A116" s="97"/>
      <c r="B116" s="98"/>
      <c r="C116" s="98"/>
      <c r="D116" s="98"/>
      <c r="E116" s="98"/>
      <c r="F116" s="162"/>
      <c r="G116" s="163"/>
    </row>
    <row r="117" spans="1:7" ht="15.95" customHeight="1" x14ac:dyDescent="0.2">
      <c r="A117" s="436" t="s">
        <v>164</v>
      </c>
      <c r="B117" s="436"/>
      <c r="C117" s="436"/>
      <c r="D117" s="436"/>
      <c r="E117" s="436"/>
      <c r="F117" s="436"/>
      <c r="G117" s="436"/>
    </row>
    <row r="118" spans="1:7" ht="15.95" customHeight="1" x14ac:dyDescent="0.2">
      <c r="A118" s="134">
        <v>5</v>
      </c>
      <c r="B118" s="450" t="s">
        <v>165</v>
      </c>
      <c r="C118" s="450"/>
      <c r="D118" s="450"/>
      <c r="E118" s="450"/>
      <c r="F118" s="450"/>
      <c r="G118" s="135" t="s">
        <v>51</v>
      </c>
    </row>
    <row r="119" spans="1:7" ht="15.95" customHeight="1" x14ac:dyDescent="0.2">
      <c r="A119" s="116" t="s">
        <v>52</v>
      </c>
      <c r="B119" s="447" t="s">
        <v>166</v>
      </c>
      <c r="C119" s="447"/>
      <c r="D119" s="447"/>
      <c r="E119" s="447"/>
      <c r="F119" s="447"/>
      <c r="G119" s="174">
        <f>'aux mod 3- INSUMOS'!G23+'aux mod 3- INSUMOS'!G37</f>
        <v>111.93666666666667</v>
      </c>
    </row>
    <row r="120" spans="1:7" ht="15.95" customHeight="1" x14ac:dyDescent="0.2">
      <c r="A120" s="87" t="s">
        <v>56</v>
      </c>
      <c r="B120" s="443" t="s">
        <v>320</v>
      </c>
      <c r="C120" s="443"/>
      <c r="D120" s="443"/>
      <c r="E120" s="443"/>
      <c r="F120" s="443"/>
      <c r="G120" s="53">
        <v>391.96</v>
      </c>
    </row>
    <row r="121" spans="1:7" ht="15.95" customHeight="1" x14ac:dyDescent="0.2">
      <c r="A121" s="87" t="s">
        <v>58</v>
      </c>
      <c r="B121" s="443" t="s">
        <v>321</v>
      </c>
      <c r="C121" s="443"/>
      <c r="D121" s="443"/>
      <c r="E121" s="443"/>
      <c r="F121" s="443"/>
      <c r="G121" s="75">
        <v>0</v>
      </c>
    </row>
    <row r="122" spans="1:7" ht="15.95" customHeight="1" x14ac:dyDescent="0.2">
      <c r="A122" s="84"/>
      <c r="B122" s="444" t="s">
        <v>124</v>
      </c>
      <c r="C122" s="444"/>
      <c r="D122" s="444"/>
      <c r="E122" s="444"/>
      <c r="F122" s="444"/>
      <c r="G122" s="76">
        <f>SUM(G119:G121)</f>
        <v>503.89666666666665</v>
      </c>
    </row>
    <row r="123" spans="1:7" ht="14.25" customHeight="1" x14ac:dyDescent="0.2">
      <c r="A123" s="440" t="s">
        <v>167</v>
      </c>
      <c r="B123" s="440"/>
      <c r="C123" s="440"/>
      <c r="D123" s="440"/>
      <c r="E123" s="440"/>
      <c r="F123" s="440"/>
      <c r="G123" s="440"/>
    </row>
    <row r="124" spans="1:7" ht="12" customHeight="1" x14ac:dyDescent="0.2"/>
    <row r="125" spans="1:7" ht="15.95" customHeight="1" x14ac:dyDescent="0.2">
      <c r="A125" s="466" t="s">
        <v>168</v>
      </c>
      <c r="B125" s="466"/>
      <c r="C125" s="466"/>
      <c r="D125" s="466"/>
      <c r="E125" s="466"/>
      <c r="F125" s="466"/>
      <c r="G125" s="175" t="s">
        <v>169</v>
      </c>
    </row>
    <row r="126" spans="1:7" ht="15.95" customHeight="1" x14ac:dyDescent="0.2">
      <c r="A126" s="87" t="s">
        <v>52</v>
      </c>
      <c r="B126" s="443" t="s">
        <v>170</v>
      </c>
      <c r="C126" s="443"/>
      <c r="D126" s="443"/>
      <c r="E126" s="443"/>
      <c r="F126" s="443"/>
      <c r="G126" s="176">
        <f>G30</f>
        <v>2453.06</v>
      </c>
    </row>
    <row r="127" spans="1:7" ht="15.95" customHeight="1" x14ac:dyDescent="0.2">
      <c r="A127" s="87" t="s">
        <v>56</v>
      </c>
      <c r="B127" s="443" t="s">
        <v>80</v>
      </c>
      <c r="C127" s="443"/>
      <c r="D127" s="443"/>
      <c r="E127" s="443"/>
      <c r="F127" s="443"/>
      <c r="G127" s="176">
        <f>G74</f>
        <v>2081.06</v>
      </c>
    </row>
    <row r="128" spans="1:7" ht="15.95" customHeight="1" x14ac:dyDescent="0.2">
      <c r="A128" s="87" t="s">
        <v>58</v>
      </c>
      <c r="B128" s="443" t="s">
        <v>171</v>
      </c>
      <c r="C128" s="443"/>
      <c r="D128" s="443"/>
      <c r="E128" s="443"/>
      <c r="F128" s="443"/>
      <c r="G128" s="176">
        <f>G88</f>
        <v>177.5</v>
      </c>
    </row>
    <row r="129" spans="1:10" ht="15.95" customHeight="1" x14ac:dyDescent="0.2">
      <c r="A129" s="87" t="s">
        <v>68</v>
      </c>
      <c r="B129" s="437" t="s">
        <v>139</v>
      </c>
      <c r="C129" s="437"/>
      <c r="D129" s="437"/>
      <c r="E129" s="437"/>
      <c r="F129" s="437"/>
      <c r="G129" s="176">
        <f>G115</f>
        <v>391.07652000000002</v>
      </c>
    </row>
    <row r="130" spans="1:10" ht="15.95" customHeight="1" x14ac:dyDescent="0.2">
      <c r="A130" s="87" t="s">
        <v>72</v>
      </c>
      <c r="B130" s="443" t="s">
        <v>164</v>
      </c>
      <c r="C130" s="443"/>
      <c r="D130" s="443"/>
      <c r="E130" s="443"/>
      <c r="F130" s="443"/>
      <c r="G130" s="177">
        <f>G122</f>
        <v>503.89666666666665</v>
      </c>
    </row>
    <row r="131" spans="1:10" ht="15.95" customHeight="1" x14ac:dyDescent="0.2">
      <c r="A131" s="87"/>
      <c r="B131" s="467" t="s">
        <v>172</v>
      </c>
      <c r="C131" s="467"/>
      <c r="D131" s="467"/>
      <c r="E131" s="467"/>
      <c r="F131" s="467"/>
      <c r="G131" s="178">
        <f>SUM(G126:G130)</f>
        <v>5606.593186666666</v>
      </c>
    </row>
    <row r="132" spans="1:10" ht="17.25" customHeight="1" x14ac:dyDescent="0.2">
      <c r="B132" s="179"/>
      <c r="C132" s="180"/>
      <c r="D132" s="181"/>
      <c r="E132" s="181"/>
      <c r="F132" s="181"/>
      <c r="G132" s="181"/>
    </row>
    <row r="133" spans="1:10" ht="15.95" customHeight="1" x14ac:dyDescent="0.2">
      <c r="A133" s="436" t="s">
        <v>173</v>
      </c>
      <c r="B133" s="436"/>
      <c r="C133" s="436"/>
      <c r="D133" s="436"/>
      <c r="E133" s="436"/>
      <c r="F133" s="436"/>
      <c r="G133" s="436"/>
    </row>
    <row r="134" spans="1:10" ht="15.95" customHeight="1" x14ac:dyDescent="0.2">
      <c r="A134" s="134">
        <v>5</v>
      </c>
      <c r="B134" s="450" t="s">
        <v>174</v>
      </c>
      <c r="C134" s="450"/>
      <c r="D134" s="450"/>
      <c r="E134" s="450"/>
      <c r="F134" s="134" t="s">
        <v>175</v>
      </c>
      <c r="G134" s="134" t="s">
        <v>51</v>
      </c>
    </row>
    <row r="135" spans="1:10" ht="15.95" customHeight="1" x14ac:dyDescent="0.2">
      <c r="A135" s="87" t="s">
        <v>52</v>
      </c>
      <c r="B135" s="443" t="s">
        <v>176</v>
      </c>
      <c r="C135" s="443"/>
      <c r="D135" s="443"/>
      <c r="E135" s="443"/>
      <c r="F135" s="182">
        <v>0.1</v>
      </c>
      <c r="G135" s="53">
        <f>ROUND(G131*F135,2)</f>
        <v>560.66</v>
      </c>
    </row>
    <row r="136" spans="1:10" ht="15.95" customHeight="1" x14ac:dyDescent="0.2">
      <c r="A136" s="87" t="s">
        <v>56</v>
      </c>
      <c r="B136" s="443" t="s">
        <v>177</v>
      </c>
      <c r="C136" s="443"/>
      <c r="D136" s="443"/>
      <c r="E136" s="443"/>
      <c r="F136" s="182">
        <v>6.7900000000000002E-2</v>
      </c>
      <c r="G136" s="53">
        <f>ROUND(G131*F136,2)</f>
        <v>380.69</v>
      </c>
      <c r="H136" s="183"/>
    </row>
    <row r="137" spans="1:10" ht="15.95" customHeight="1" x14ac:dyDescent="0.2">
      <c r="A137" s="443" t="s">
        <v>58</v>
      </c>
      <c r="B137" s="443" t="s">
        <v>178</v>
      </c>
      <c r="C137" s="443"/>
      <c r="D137" s="443"/>
      <c r="E137" s="443"/>
      <c r="F137" s="468">
        <f>SUM(E138:E141)</f>
        <v>8.6499999999999994E-2</v>
      </c>
      <c r="G137" s="452">
        <f>((G131+G135+G136)/(1-F137))*F137</f>
        <v>620.0296504068599</v>
      </c>
      <c r="H137" s="183"/>
    </row>
    <row r="138" spans="1:10" ht="15.95" customHeight="1" x14ac:dyDescent="0.2">
      <c r="A138" s="443"/>
      <c r="B138" s="462" t="s">
        <v>179</v>
      </c>
      <c r="C138" s="462"/>
      <c r="D138" s="184" t="s">
        <v>180</v>
      </c>
      <c r="E138" s="185">
        <v>6.4999999999999997E-3</v>
      </c>
      <c r="F138" s="468"/>
      <c r="G138" s="452"/>
      <c r="H138" s="186"/>
      <c r="I138" s="366"/>
    </row>
    <row r="139" spans="1:10" ht="15.95" customHeight="1" x14ac:dyDescent="0.2">
      <c r="A139" s="443"/>
      <c r="B139" s="462"/>
      <c r="C139" s="462"/>
      <c r="D139" s="184" t="s">
        <v>181</v>
      </c>
      <c r="E139" s="185">
        <v>0.03</v>
      </c>
      <c r="F139" s="468"/>
      <c r="G139" s="452"/>
      <c r="H139" s="186"/>
      <c r="I139" s="356"/>
    </row>
    <row r="140" spans="1:10" ht="15.95" customHeight="1" x14ac:dyDescent="0.2">
      <c r="A140" s="443"/>
      <c r="B140" s="462" t="s">
        <v>182</v>
      </c>
      <c r="C140" s="462"/>
      <c r="D140" s="462"/>
      <c r="E140" s="187"/>
      <c r="F140" s="468"/>
      <c r="G140" s="452"/>
      <c r="H140" s="183"/>
      <c r="I140" s="356"/>
    </row>
    <row r="141" spans="1:10" ht="15.95" customHeight="1" x14ac:dyDescent="0.2">
      <c r="A141" s="443"/>
      <c r="B141" s="462" t="s">
        <v>183</v>
      </c>
      <c r="C141" s="462"/>
      <c r="D141" s="184" t="s">
        <v>184</v>
      </c>
      <c r="E141" s="185">
        <v>0.05</v>
      </c>
      <c r="F141" s="468"/>
      <c r="G141" s="452"/>
      <c r="H141" s="188"/>
    </row>
    <row r="142" spans="1:10" ht="15.95" customHeight="1" x14ac:dyDescent="0.2">
      <c r="A142" s="84"/>
      <c r="B142" s="444" t="s">
        <v>86</v>
      </c>
      <c r="C142" s="444"/>
      <c r="D142" s="444"/>
      <c r="E142" s="444"/>
      <c r="F142" s="444"/>
      <c r="G142" s="76">
        <f>ROUND((G135+G136+G137),2)</f>
        <v>1561.38</v>
      </c>
      <c r="H142" s="186"/>
    </row>
    <row r="143" spans="1:10" ht="15.75" customHeight="1" x14ac:dyDescent="0.2">
      <c r="A143" s="440" t="s">
        <v>185</v>
      </c>
      <c r="B143" s="440"/>
      <c r="C143" s="440"/>
      <c r="D143" s="440"/>
      <c r="E143" s="440"/>
      <c r="F143" s="440"/>
      <c r="G143" s="440"/>
      <c r="H143" s="186"/>
      <c r="I143" s="366"/>
      <c r="J143" s="367">
        <f>H144*I143</f>
        <v>0</v>
      </c>
    </row>
    <row r="144" spans="1:10" ht="20.25" customHeight="1" x14ac:dyDescent="0.2">
      <c r="A144" s="440" t="s">
        <v>186</v>
      </c>
      <c r="B144" s="440"/>
      <c r="C144" s="440"/>
      <c r="D144" s="440"/>
      <c r="E144" s="440"/>
      <c r="F144" s="440"/>
      <c r="G144" s="440"/>
      <c r="H144" s="186"/>
      <c r="I144" s="356"/>
    </row>
    <row r="145" spans="1:8" ht="12.75" customHeight="1" x14ac:dyDescent="0.2">
      <c r="A145" s="189"/>
      <c r="B145" s="190"/>
      <c r="C145" s="190"/>
      <c r="D145" s="190"/>
      <c r="E145" s="191"/>
      <c r="F145" s="192"/>
      <c r="G145" s="193"/>
      <c r="H145" s="183"/>
    </row>
    <row r="146" spans="1:8" ht="15.95" customHeight="1" x14ac:dyDescent="0.2">
      <c r="A146" s="471" t="s">
        <v>187</v>
      </c>
      <c r="B146" s="471"/>
      <c r="C146" s="471"/>
      <c r="D146" s="471"/>
      <c r="E146" s="471"/>
      <c r="F146" s="471"/>
      <c r="G146" s="471"/>
    </row>
    <row r="147" spans="1:8" ht="15.95" customHeight="1" x14ac:dyDescent="0.2">
      <c r="A147" s="472" t="s">
        <v>188</v>
      </c>
      <c r="B147" s="472"/>
      <c r="C147" s="472"/>
      <c r="D147" s="472"/>
      <c r="E147" s="472"/>
      <c r="F147" s="472"/>
      <c r="G147" s="194" t="s">
        <v>169</v>
      </c>
      <c r="H147" s="183"/>
    </row>
    <row r="148" spans="1:8" ht="15.95" customHeight="1" x14ac:dyDescent="0.2">
      <c r="A148" s="87" t="s">
        <v>52</v>
      </c>
      <c r="B148" s="443" t="s">
        <v>170</v>
      </c>
      <c r="C148" s="443"/>
      <c r="D148" s="443"/>
      <c r="E148" s="443"/>
      <c r="F148" s="443"/>
      <c r="G148" s="176">
        <f>G126</f>
        <v>2453.06</v>
      </c>
    </row>
    <row r="149" spans="1:8" ht="15.95" customHeight="1" x14ac:dyDescent="0.2">
      <c r="A149" s="87" t="s">
        <v>56</v>
      </c>
      <c r="B149" s="443" t="s">
        <v>80</v>
      </c>
      <c r="C149" s="443"/>
      <c r="D149" s="443"/>
      <c r="E149" s="443"/>
      <c r="F149" s="443"/>
      <c r="G149" s="176">
        <f>G127</f>
        <v>2081.06</v>
      </c>
      <c r="H149" s="183"/>
    </row>
    <row r="150" spans="1:8" ht="15.95" customHeight="1" x14ac:dyDescent="0.2">
      <c r="A150" s="87" t="s">
        <v>58</v>
      </c>
      <c r="B150" s="443" t="s">
        <v>171</v>
      </c>
      <c r="C150" s="443"/>
      <c r="D150" s="443"/>
      <c r="E150" s="443"/>
      <c r="F150" s="443"/>
      <c r="G150" s="176">
        <f>G128</f>
        <v>177.5</v>
      </c>
      <c r="H150" s="183"/>
    </row>
    <row r="151" spans="1:8" ht="15.95" customHeight="1" x14ac:dyDescent="0.2">
      <c r="A151" s="87" t="s">
        <v>68</v>
      </c>
      <c r="B151" s="437" t="s">
        <v>139</v>
      </c>
      <c r="C151" s="437"/>
      <c r="D151" s="437"/>
      <c r="E151" s="437"/>
      <c r="F151" s="437"/>
      <c r="G151" s="176">
        <f>G129</f>
        <v>391.07652000000002</v>
      </c>
      <c r="H151" s="183"/>
    </row>
    <row r="152" spans="1:8" ht="15.95" customHeight="1" x14ac:dyDescent="0.2">
      <c r="A152" s="87"/>
      <c r="B152" s="443" t="s">
        <v>164</v>
      </c>
      <c r="C152" s="443"/>
      <c r="D152" s="443"/>
      <c r="E152" s="443"/>
      <c r="F152" s="443"/>
      <c r="G152" s="176">
        <f>G130</f>
        <v>503.89666666666665</v>
      </c>
      <c r="H152" s="195"/>
    </row>
    <row r="153" spans="1:8" ht="15.95" customHeight="1" x14ac:dyDescent="0.2">
      <c r="A153" s="87" t="s">
        <v>72</v>
      </c>
      <c r="B153" s="443" t="s">
        <v>189</v>
      </c>
      <c r="C153" s="443"/>
      <c r="D153" s="443"/>
      <c r="E153" s="443"/>
      <c r="F153" s="443"/>
      <c r="G153" s="176">
        <f>G142</f>
        <v>1561.38</v>
      </c>
      <c r="H153" s="183"/>
    </row>
    <row r="154" spans="1:8" ht="15.95" customHeight="1" x14ac:dyDescent="0.2">
      <c r="A154" s="196"/>
      <c r="B154" s="469" t="s">
        <v>190</v>
      </c>
      <c r="C154" s="469"/>
      <c r="D154" s="469"/>
      <c r="E154" s="469"/>
      <c r="F154" s="469"/>
      <c r="G154" s="197">
        <f>ROUND(SUM(G148:G153),2)</f>
        <v>7167.97</v>
      </c>
    </row>
    <row r="155" spans="1:8" x14ac:dyDescent="0.2">
      <c r="A155" s="470"/>
      <c r="B155" s="470"/>
      <c r="C155" s="470"/>
      <c r="D155" s="470"/>
      <c r="E155" s="470" t="e">
        <f>#REF!</f>
        <v>#REF!</v>
      </c>
      <c r="F155" s="470"/>
      <c r="G155" s="470"/>
    </row>
  </sheetData>
  <mergeCells count="134">
    <mergeCell ref="B152:F152"/>
    <mergeCell ref="B153:F153"/>
    <mergeCell ref="B154:F154"/>
    <mergeCell ref="A155:G155"/>
    <mergeCell ref="B142:F142"/>
    <mergeCell ref="A143:G143"/>
    <mergeCell ref="A144:G144"/>
    <mergeCell ref="A146:G146"/>
    <mergeCell ref="A147:F147"/>
    <mergeCell ref="B148:F148"/>
    <mergeCell ref="B149:F149"/>
    <mergeCell ref="B150:F150"/>
    <mergeCell ref="B151:F151"/>
    <mergeCell ref="B134:E134"/>
    <mergeCell ref="B135:E135"/>
    <mergeCell ref="B136:E136"/>
    <mergeCell ref="A137:A141"/>
    <mergeCell ref="B137:E137"/>
    <mergeCell ref="F137:F141"/>
    <mergeCell ref="G137:G141"/>
    <mergeCell ref="B138:C139"/>
    <mergeCell ref="B140:D140"/>
    <mergeCell ref="B141:C141"/>
    <mergeCell ref="A123:G123"/>
    <mergeCell ref="A125:F125"/>
    <mergeCell ref="B126:F126"/>
    <mergeCell ref="B127:F127"/>
    <mergeCell ref="B128:F128"/>
    <mergeCell ref="B129:F129"/>
    <mergeCell ref="B130:F130"/>
    <mergeCell ref="B131:F131"/>
    <mergeCell ref="A133:G133"/>
    <mergeCell ref="B105:E105"/>
    <mergeCell ref="A106:G106"/>
    <mergeCell ref="A107:G107"/>
    <mergeCell ref="A117:G117"/>
    <mergeCell ref="B118:F118"/>
    <mergeCell ref="B119:F119"/>
    <mergeCell ref="B120:F120"/>
    <mergeCell ref="B121:F121"/>
    <mergeCell ref="B122:F122"/>
    <mergeCell ref="B98:E98"/>
    <mergeCell ref="F98:F99"/>
    <mergeCell ref="B99:D99"/>
    <mergeCell ref="B100:C100"/>
    <mergeCell ref="F100:F101"/>
    <mergeCell ref="B101:D101"/>
    <mergeCell ref="B102:C102"/>
    <mergeCell ref="B103:F103"/>
    <mergeCell ref="B104:E104"/>
    <mergeCell ref="B91:F91"/>
    <mergeCell ref="B92:F92"/>
    <mergeCell ref="B93:E93"/>
    <mergeCell ref="B94:E94"/>
    <mergeCell ref="F94:F95"/>
    <mergeCell ref="G94:G95"/>
    <mergeCell ref="B95:D95"/>
    <mergeCell ref="B96:C96"/>
    <mergeCell ref="F96:F97"/>
    <mergeCell ref="B97:D97"/>
    <mergeCell ref="A84:A85"/>
    <mergeCell ref="B84:D84"/>
    <mergeCell ref="F84:F85"/>
    <mergeCell ref="G84:G85"/>
    <mergeCell ref="B85:C85"/>
    <mergeCell ref="B86:E86"/>
    <mergeCell ref="B87:E87"/>
    <mergeCell ref="B88:E88"/>
    <mergeCell ref="A90:G90"/>
    <mergeCell ref="A78:A79"/>
    <mergeCell ref="B78:D78"/>
    <mergeCell ref="F78:F79"/>
    <mergeCell ref="G78:G79"/>
    <mergeCell ref="B79:C79"/>
    <mergeCell ref="B80:E80"/>
    <mergeCell ref="B81:E81"/>
    <mergeCell ref="A82:A83"/>
    <mergeCell ref="B82:E82"/>
    <mergeCell ref="F82:F83"/>
    <mergeCell ref="G82:G83"/>
    <mergeCell ref="B63:F63"/>
    <mergeCell ref="B64:F64"/>
    <mergeCell ref="B65:F65"/>
    <mergeCell ref="B66:F66"/>
    <mergeCell ref="A67:G67"/>
    <mergeCell ref="A68:G68"/>
    <mergeCell ref="B74:F74"/>
    <mergeCell ref="A76:G76"/>
    <mergeCell ref="B77:F77"/>
    <mergeCell ref="B52:E52"/>
    <mergeCell ref="B53:E53"/>
    <mergeCell ref="A54:G54"/>
    <mergeCell ref="A55:G55"/>
    <mergeCell ref="A56:G56"/>
    <mergeCell ref="B59:F59"/>
    <mergeCell ref="B60:F60"/>
    <mergeCell ref="B61:F61"/>
    <mergeCell ref="B62:F62"/>
    <mergeCell ref="A41:G41"/>
    <mergeCell ref="A42:G42"/>
    <mergeCell ref="B44:E44"/>
    <mergeCell ref="B45:E45"/>
    <mergeCell ref="B46:E46"/>
    <mergeCell ref="B47:E47"/>
    <mergeCell ref="B48:E48"/>
    <mergeCell ref="B49:E49"/>
    <mergeCell ref="B50:E50"/>
    <mergeCell ref="B29:F29"/>
    <mergeCell ref="B30:F30"/>
    <mergeCell ref="A31:G31"/>
    <mergeCell ref="A33:G33"/>
    <mergeCell ref="B35:E35"/>
    <mergeCell ref="B36:E36"/>
    <mergeCell ref="B38:E38"/>
    <mergeCell ref="B39:E39"/>
    <mergeCell ref="A40:G40"/>
    <mergeCell ref="A18:G18"/>
    <mergeCell ref="B19:F19"/>
    <mergeCell ref="B20:D20"/>
    <mergeCell ref="B21:E21"/>
    <mergeCell ref="A22:A25"/>
    <mergeCell ref="B22:E22"/>
    <mergeCell ref="G22:G24"/>
    <mergeCell ref="B27:F27"/>
    <mergeCell ref="B28:F28"/>
    <mergeCell ref="A1:G1"/>
    <mergeCell ref="C2:G2"/>
    <mergeCell ref="C3:D3"/>
    <mergeCell ref="F3:G3"/>
    <mergeCell ref="B5:D5"/>
    <mergeCell ref="B7:G7"/>
    <mergeCell ref="B8:G8"/>
    <mergeCell ref="F12:G12"/>
    <mergeCell ref="F14:G14"/>
  </mergeCells>
  <printOptions horizontalCentered="1"/>
  <pageMargins left="0.39374999999999999" right="0.39374999999999999" top="0.59027777777777801" bottom="0.59027777777777801" header="0.51180555555555496" footer="0.51180555555555496"/>
  <pageSetup paperSize="9" scale="75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55"/>
  <sheetViews>
    <sheetView tabSelected="1" topLeftCell="B16" zoomScale="130" zoomScaleNormal="130" workbookViewId="0">
      <selection activeCell="L35" sqref="L35"/>
    </sheetView>
  </sheetViews>
  <sheetFormatPr defaultRowHeight="12.75" x14ac:dyDescent="0.2"/>
  <cols>
    <col min="1" max="1" width="4.5703125" style="13" customWidth="1"/>
    <col min="2" max="2" width="22.42578125" style="13" customWidth="1"/>
    <col min="3" max="3" width="13.28515625" style="13" customWidth="1"/>
    <col min="4" max="4" width="17.5703125" style="13" customWidth="1"/>
    <col min="5" max="5" width="14.140625" style="13" customWidth="1"/>
    <col min="6" max="6" width="17.7109375" style="13" customWidth="1"/>
    <col min="7" max="7" width="14.7109375" style="13" customWidth="1"/>
    <col min="8" max="8" width="35" style="13" hidden="1" customWidth="1"/>
    <col min="9" max="9" width="13.42578125" style="13" hidden="1" customWidth="1"/>
    <col min="10" max="10" width="32.7109375" style="13" customWidth="1"/>
    <col min="11" max="13" width="19.7109375" style="13" customWidth="1"/>
    <col min="14" max="14" width="16.85546875" style="13" customWidth="1"/>
    <col min="15" max="15" width="15.42578125" style="13" customWidth="1"/>
    <col min="16" max="16" width="17.28515625" style="13" customWidth="1"/>
    <col min="17" max="19" width="8.7109375" style="13" customWidth="1"/>
    <col min="20" max="24" width="9.140625" style="13"/>
    <col min="25" max="1025" width="8.7109375" style="13" customWidth="1"/>
  </cols>
  <sheetData>
    <row r="1" spans="1:7" ht="15.75" x14ac:dyDescent="0.25">
      <c r="A1" s="416" t="s">
        <v>32</v>
      </c>
      <c r="B1" s="416"/>
      <c r="C1" s="416"/>
      <c r="D1" s="416"/>
      <c r="E1" s="416"/>
      <c r="F1" s="416"/>
      <c r="G1" s="416"/>
    </row>
    <row r="2" spans="1:7" ht="18.75" customHeight="1" x14ac:dyDescent="0.2">
      <c r="A2" s="14"/>
      <c r="B2" s="15" t="s">
        <v>33</v>
      </c>
      <c r="C2" s="417"/>
      <c r="D2" s="417"/>
      <c r="E2" s="417"/>
      <c r="F2" s="417"/>
      <c r="G2" s="417"/>
    </row>
    <row r="3" spans="1:7" ht="36.75" customHeight="1" x14ac:dyDescent="0.2">
      <c r="A3" s="14"/>
      <c r="B3" s="16" t="s">
        <v>34</v>
      </c>
      <c r="C3" s="418"/>
      <c r="D3" s="418"/>
      <c r="E3" s="17"/>
      <c r="F3" s="419" t="s">
        <v>35</v>
      </c>
      <c r="G3" s="419"/>
    </row>
    <row r="4" spans="1:7" x14ac:dyDescent="0.2">
      <c r="A4" s="18"/>
      <c r="B4" s="19" t="s">
        <v>36</v>
      </c>
      <c r="C4" s="20" t="s">
        <v>300</v>
      </c>
      <c r="D4" s="21"/>
      <c r="E4" s="21"/>
      <c r="F4" s="21"/>
      <c r="G4" s="22"/>
    </row>
    <row r="5" spans="1:7" ht="19.5" customHeight="1" x14ac:dyDescent="0.2">
      <c r="A5" s="14"/>
      <c r="B5" s="420" t="s">
        <v>37</v>
      </c>
      <c r="C5" s="420"/>
      <c r="D5" s="420"/>
      <c r="E5" s="23" t="s">
        <v>38</v>
      </c>
      <c r="F5" s="24"/>
      <c r="G5" s="25"/>
    </row>
    <row r="6" spans="1:7" ht="12.75" customHeight="1" x14ac:dyDescent="0.2">
      <c r="A6" s="18"/>
      <c r="B6" s="26" t="s">
        <v>39</v>
      </c>
      <c r="C6" s="27"/>
      <c r="D6" s="27"/>
      <c r="E6" s="27"/>
      <c r="F6" s="27"/>
      <c r="G6" s="28"/>
    </row>
    <row r="7" spans="1:7" ht="27" customHeight="1" x14ac:dyDescent="0.2">
      <c r="A7" s="18"/>
      <c r="B7" s="421" t="s">
        <v>40</v>
      </c>
      <c r="C7" s="421"/>
      <c r="D7" s="421"/>
      <c r="E7" s="421"/>
      <c r="F7" s="421"/>
      <c r="G7" s="421"/>
    </row>
    <row r="8" spans="1:7" ht="17.25" customHeight="1" x14ac:dyDescent="0.2">
      <c r="A8" s="18"/>
      <c r="B8" s="422" t="s">
        <v>41</v>
      </c>
      <c r="C8" s="422"/>
      <c r="D8" s="422"/>
      <c r="E8" s="422"/>
      <c r="F8" s="422"/>
      <c r="G8" s="422"/>
    </row>
    <row r="9" spans="1:7" x14ac:dyDescent="0.2">
      <c r="A9" s="29">
        <v>1</v>
      </c>
      <c r="B9" s="30" t="s">
        <v>42</v>
      </c>
      <c r="C9" s="31"/>
      <c r="D9" s="31"/>
      <c r="E9" s="31"/>
      <c r="F9" s="31"/>
      <c r="G9" s="32" t="s">
        <v>238</v>
      </c>
    </row>
    <row r="10" spans="1:7" x14ac:dyDescent="0.2">
      <c r="A10" s="29">
        <v>2</v>
      </c>
      <c r="B10" s="30" t="s">
        <v>43</v>
      </c>
      <c r="C10" s="31"/>
      <c r="D10" s="31"/>
      <c r="E10" s="31"/>
      <c r="F10" s="31"/>
      <c r="G10" s="33"/>
    </row>
    <row r="11" spans="1:7" x14ac:dyDescent="0.2">
      <c r="A11" s="29">
        <v>3</v>
      </c>
      <c r="B11" s="34" t="s">
        <v>44</v>
      </c>
      <c r="C11" s="35"/>
      <c r="D11" s="35"/>
      <c r="E11" s="35"/>
      <c r="F11" s="36"/>
      <c r="G11" s="32">
        <v>12</v>
      </c>
    </row>
    <row r="12" spans="1:7" ht="12.75" customHeight="1" x14ac:dyDescent="0.2">
      <c r="A12" s="29">
        <v>4</v>
      </c>
      <c r="B12" s="34" t="s">
        <v>45</v>
      </c>
      <c r="C12" s="35"/>
      <c r="D12" s="35"/>
      <c r="E12" s="35"/>
      <c r="F12" s="423" t="s">
        <v>324</v>
      </c>
      <c r="G12" s="423"/>
    </row>
    <row r="13" spans="1:7" x14ac:dyDescent="0.2">
      <c r="A13" s="29">
        <v>5</v>
      </c>
      <c r="B13" s="37" t="s">
        <v>46</v>
      </c>
      <c r="C13" s="38"/>
      <c r="D13" s="38"/>
      <c r="E13" s="38"/>
      <c r="F13" s="38"/>
      <c r="G13" s="355">
        <v>44075</v>
      </c>
    </row>
    <row r="14" spans="1:7" ht="12.75" customHeight="1" x14ac:dyDescent="0.2">
      <c r="A14" s="29">
        <v>6</v>
      </c>
      <c r="B14" s="34" t="s">
        <v>47</v>
      </c>
      <c r="C14" s="35"/>
      <c r="D14" s="35"/>
      <c r="E14" s="36"/>
      <c r="F14" s="424" t="s">
        <v>323</v>
      </c>
      <c r="G14" s="424"/>
    </row>
    <row r="15" spans="1:7" x14ac:dyDescent="0.2">
      <c r="A15" s="29">
        <v>7</v>
      </c>
      <c r="B15" s="34" t="s">
        <v>48</v>
      </c>
      <c r="C15" s="35"/>
      <c r="D15" s="35"/>
      <c r="E15" s="35"/>
      <c r="F15" s="35"/>
      <c r="G15" s="39">
        <v>1446.18</v>
      </c>
    </row>
    <row r="16" spans="1:7" ht="11.25" customHeight="1" x14ac:dyDescent="0.2">
      <c r="A16" s="40"/>
      <c r="B16" s="38"/>
      <c r="C16" s="38"/>
      <c r="D16" s="38"/>
      <c r="E16" s="38"/>
      <c r="F16" s="38"/>
      <c r="G16" s="38"/>
    </row>
    <row r="17" spans="1:11" s="41" customFormat="1" ht="13.5" customHeight="1" x14ac:dyDescent="0.2">
      <c r="B17" s="38"/>
      <c r="C17" s="42"/>
      <c r="D17" s="42"/>
      <c r="E17" s="42" t="s">
        <v>294</v>
      </c>
      <c r="F17" s="42">
        <f>1/4</f>
        <v>0.25</v>
      </c>
      <c r="G17" s="42">
        <f>365+0.25</f>
        <v>365.25</v>
      </c>
      <c r="H17" s="41" t="s">
        <v>295</v>
      </c>
      <c r="I17" s="41">
        <f>G17/12</f>
        <v>30.4375</v>
      </c>
    </row>
    <row r="18" spans="1:11" s="41" customFormat="1" ht="13.5" customHeight="1" x14ac:dyDescent="0.2">
      <c r="A18" s="425" t="s">
        <v>49</v>
      </c>
      <c r="B18" s="425"/>
      <c r="C18" s="425"/>
      <c r="D18" s="425"/>
      <c r="E18" s="425"/>
      <c r="F18" s="425"/>
      <c r="G18" s="425"/>
      <c r="H18" s="41" t="s">
        <v>296</v>
      </c>
      <c r="I18" s="41">
        <f>I17/2</f>
        <v>15.21875</v>
      </c>
    </row>
    <row r="19" spans="1:11" ht="15.95" customHeight="1" x14ac:dyDescent="0.2">
      <c r="A19" s="369">
        <v>1</v>
      </c>
      <c r="B19" s="426" t="s">
        <v>50</v>
      </c>
      <c r="C19" s="426"/>
      <c r="D19" s="426"/>
      <c r="E19" s="426"/>
      <c r="F19" s="426"/>
      <c r="G19" s="44" t="s">
        <v>51</v>
      </c>
    </row>
    <row r="20" spans="1:11" ht="15.95" customHeight="1" x14ac:dyDescent="0.2">
      <c r="A20" s="370" t="s">
        <v>52</v>
      </c>
      <c r="B20" s="427" t="s">
        <v>53</v>
      </c>
      <c r="C20" s="427"/>
      <c r="D20" s="427"/>
      <c r="E20" s="370" t="s">
        <v>54</v>
      </c>
      <c r="F20" s="47">
        <f>ROUND(I18,2)</f>
        <v>15.22</v>
      </c>
      <c r="G20" s="48">
        <f>G15</f>
        <v>1446.18</v>
      </c>
      <c r="H20" s="49" t="s">
        <v>55</v>
      </c>
      <c r="I20" s="50"/>
    </row>
    <row r="21" spans="1:11" ht="15.95" customHeight="1" x14ac:dyDescent="0.2">
      <c r="A21" s="391" t="s">
        <v>56</v>
      </c>
      <c r="B21" s="427" t="s">
        <v>57</v>
      </c>
      <c r="C21" s="427"/>
      <c r="D21" s="427"/>
      <c r="E21" s="427"/>
      <c r="F21" s="52">
        <v>0.3</v>
      </c>
      <c r="G21" s="379">
        <f>ROUND(F21*G20,2)</f>
        <v>433.85</v>
      </c>
    </row>
    <row r="22" spans="1:11" ht="15.95" customHeight="1" x14ac:dyDescent="0.2">
      <c r="A22" s="428" t="s">
        <v>58</v>
      </c>
      <c r="B22" s="429" t="s">
        <v>59</v>
      </c>
      <c r="C22" s="429"/>
      <c r="D22" s="429"/>
      <c r="E22" s="429"/>
      <c r="F22" s="54" t="s">
        <v>60</v>
      </c>
      <c r="G22" s="430">
        <f>ROUND(E23*F24*F20,2)</f>
        <v>0</v>
      </c>
      <c r="H22" s="56"/>
    </row>
    <row r="23" spans="1:11" ht="24.75" customHeight="1" x14ac:dyDescent="0.2">
      <c r="A23" s="428"/>
      <c r="B23" s="57" t="s">
        <v>61</v>
      </c>
      <c r="C23" s="58">
        <f>ROUND((G20+G21)/220,2)</f>
        <v>8.5500000000000007</v>
      </c>
      <c r="D23" s="392" t="s">
        <v>62</v>
      </c>
      <c r="E23" s="60">
        <f>ROUND(C23*0.2,2)</f>
        <v>1.71</v>
      </c>
      <c r="F23" s="61">
        <f>60/52.5</f>
        <v>1.1428571428571428</v>
      </c>
      <c r="G23" s="430"/>
      <c r="H23" s="13" t="s">
        <v>289</v>
      </c>
      <c r="I23" s="13">
        <f>60/52.5</f>
        <v>1.1428571428571428</v>
      </c>
    </row>
    <row r="24" spans="1:11" ht="15.95" customHeight="1" x14ac:dyDescent="0.2">
      <c r="A24" s="428"/>
      <c r="B24" s="57" t="s">
        <v>63</v>
      </c>
      <c r="C24" s="62" t="s">
        <v>64</v>
      </c>
      <c r="D24" s="47">
        <v>0</v>
      </c>
      <c r="E24" s="62" t="s">
        <v>65</v>
      </c>
      <c r="F24" s="63">
        <f>D24*F23</f>
        <v>0</v>
      </c>
      <c r="G24" s="430"/>
      <c r="H24" s="359" t="s">
        <v>293</v>
      </c>
      <c r="I24" s="13">
        <f>7*I23</f>
        <v>8</v>
      </c>
    </row>
    <row r="25" spans="1:11" ht="15.95" customHeight="1" x14ac:dyDescent="0.2">
      <c r="A25" s="428"/>
      <c r="B25" s="64" t="s">
        <v>66</v>
      </c>
      <c r="C25" s="65"/>
      <c r="D25" s="391" t="s">
        <v>67</v>
      </c>
      <c r="E25" s="66">
        <f>C23*1.6</f>
        <v>13.680000000000001</v>
      </c>
      <c r="F25" s="67"/>
      <c r="G25" s="379"/>
    </row>
    <row r="26" spans="1:11" ht="15.95" customHeight="1" x14ac:dyDescent="0.2">
      <c r="A26" s="68" t="s">
        <v>68</v>
      </c>
      <c r="B26" s="69" t="s">
        <v>69</v>
      </c>
      <c r="C26" s="62" t="s">
        <v>70</v>
      </c>
      <c r="D26" s="70">
        <f>ROUND(F24-D24,2)</f>
        <v>0</v>
      </c>
      <c r="E26" s="71" t="s">
        <v>71</v>
      </c>
      <c r="F26" s="70">
        <f>ROUND(D26*F20,2)</f>
        <v>0</v>
      </c>
      <c r="G26" s="371">
        <f>ROUND(F26*C23,2)</f>
        <v>0</v>
      </c>
      <c r="H26" s="56"/>
    </row>
    <row r="27" spans="1:11" ht="15.95" customHeight="1" x14ac:dyDescent="0.2">
      <c r="A27" s="393" t="s">
        <v>72</v>
      </c>
      <c r="B27" s="431" t="s">
        <v>73</v>
      </c>
      <c r="C27" s="431"/>
      <c r="D27" s="431"/>
      <c r="E27" s="431"/>
      <c r="F27" s="431"/>
      <c r="G27" s="371"/>
      <c r="H27" s="73" t="s">
        <v>290</v>
      </c>
      <c r="I27" s="74" t="s">
        <v>291</v>
      </c>
      <c r="J27" s="41"/>
    </row>
    <row r="28" spans="1:11" ht="15.95" customHeight="1" x14ac:dyDescent="0.2">
      <c r="A28" s="370" t="s">
        <v>74</v>
      </c>
      <c r="B28" s="432" t="s">
        <v>75</v>
      </c>
      <c r="C28" s="432"/>
      <c r="D28" s="432"/>
      <c r="E28" s="432"/>
      <c r="F28" s="432"/>
      <c r="G28" s="379"/>
      <c r="H28" s="56" t="s">
        <v>292</v>
      </c>
      <c r="I28" s="74">
        <f>1/2</f>
        <v>0.5</v>
      </c>
      <c r="J28" s="41"/>
    </row>
    <row r="29" spans="1:11" ht="15.95" customHeight="1" x14ac:dyDescent="0.2">
      <c r="A29" s="370" t="s">
        <v>76</v>
      </c>
      <c r="B29" s="433" t="s">
        <v>77</v>
      </c>
      <c r="C29" s="433"/>
      <c r="D29" s="433"/>
      <c r="E29" s="433"/>
      <c r="F29" s="433"/>
      <c r="G29" s="75"/>
      <c r="H29" s="56"/>
      <c r="I29" s="74"/>
      <c r="J29" s="41"/>
    </row>
    <row r="30" spans="1:11" ht="15.95" customHeight="1" x14ac:dyDescent="0.2">
      <c r="A30" s="391"/>
      <c r="B30" s="434" t="s">
        <v>78</v>
      </c>
      <c r="C30" s="434"/>
      <c r="D30" s="434"/>
      <c r="E30" s="434"/>
      <c r="F30" s="434"/>
      <c r="G30" s="76">
        <f>SUM(G20:G29)</f>
        <v>1880.0300000000002</v>
      </c>
      <c r="H30" s="56"/>
      <c r="I30" s="74"/>
      <c r="J30" s="41"/>
    </row>
    <row r="31" spans="1:11" ht="19.5" customHeight="1" x14ac:dyDescent="0.2">
      <c r="A31" s="435" t="s">
        <v>79</v>
      </c>
      <c r="B31" s="435"/>
      <c r="C31" s="435"/>
      <c r="D31" s="435"/>
      <c r="E31" s="435"/>
      <c r="F31" s="435"/>
      <c r="G31" s="435"/>
      <c r="H31" s="56"/>
      <c r="I31" s="74"/>
      <c r="J31" s="41"/>
    </row>
    <row r="32" spans="1:11" ht="11.25" customHeight="1" x14ac:dyDescent="0.25">
      <c r="G32" s="56"/>
      <c r="I32" s="74"/>
      <c r="J32" s="77"/>
      <c r="K32" s="78"/>
    </row>
    <row r="33" spans="1:8" ht="15.95" customHeight="1" x14ac:dyDescent="0.2">
      <c r="A33" s="436" t="s">
        <v>80</v>
      </c>
      <c r="B33" s="436"/>
      <c r="C33" s="436"/>
      <c r="D33" s="436"/>
      <c r="E33" s="436"/>
      <c r="F33" s="436"/>
      <c r="G33" s="436"/>
    </row>
    <row r="34" spans="1:8" ht="15.95" customHeight="1" x14ac:dyDescent="0.2">
      <c r="A34" s="79"/>
      <c r="B34" s="80" t="s">
        <v>81</v>
      </c>
      <c r="C34" s="81"/>
      <c r="D34" s="81"/>
      <c r="E34" s="81"/>
      <c r="F34" s="82"/>
      <c r="G34" s="83" t="s">
        <v>82</v>
      </c>
    </row>
    <row r="35" spans="1:8" ht="15.95" customHeight="1" x14ac:dyDescent="0.2">
      <c r="A35" s="372" t="s">
        <v>52</v>
      </c>
      <c r="B35" s="437" t="s">
        <v>83</v>
      </c>
      <c r="C35" s="437"/>
      <c r="D35" s="437"/>
      <c r="E35" s="437"/>
      <c r="F35" s="381">
        <f>ROUND(1/12,4)</f>
        <v>8.3299999999999999E-2</v>
      </c>
      <c r="G35" s="86">
        <f>ROUND(F35*G30,2)</f>
        <v>156.61000000000001</v>
      </c>
    </row>
    <row r="36" spans="1:8" s="41" customFormat="1" ht="15.95" customHeight="1" x14ac:dyDescent="0.2">
      <c r="A36" s="375" t="s">
        <v>56</v>
      </c>
      <c r="B36" s="438" t="s">
        <v>84</v>
      </c>
      <c r="C36" s="438"/>
      <c r="D36" s="438"/>
      <c r="E36" s="438"/>
      <c r="F36" s="385">
        <f>3.025%</f>
        <v>3.0249999999999999E-2</v>
      </c>
      <c r="G36" s="384">
        <f>ROUND(F36*G30,2)</f>
        <v>56.87</v>
      </c>
    </row>
    <row r="37" spans="1:8" s="41" customFormat="1" ht="15.95" customHeight="1" x14ac:dyDescent="0.2">
      <c r="A37" s="91"/>
      <c r="B37" s="373"/>
      <c r="C37" s="373"/>
      <c r="D37" s="373"/>
      <c r="E37" s="373"/>
      <c r="F37" s="360"/>
      <c r="G37" s="94"/>
    </row>
    <row r="38" spans="1:8" ht="15.95" customHeight="1" x14ac:dyDescent="0.2">
      <c r="A38" s="91" t="s">
        <v>58</v>
      </c>
      <c r="B38" s="439" t="s">
        <v>85</v>
      </c>
      <c r="C38" s="439"/>
      <c r="D38" s="439"/>
      <c r="E38" s="439"/>
      <c r="F38" s="93">
        <v>7.8200000000000006E-2</v>
      </c>
      <c r="G38" s="94">
        <f>ROUND(F38*G30,2)</f>
        <v>147.02000000000001</v>
      </c>
    </row>
    <row r="39" spans="1:8" ht="15.95" customHeight="1" x14ac:dyDescent="0.2">
      <c r="A39" s="370"/>
      <c r="B39" s="427" t="s">
        <v>86</v>
      </c>
      <c r="C39" s="427"/>
      <c r="D39" s="427"/>
      <c r="E39" s="427"/>
      <c r="F39" s="95">
        <f>F35+F38+F36</f>
        <v>0.19175</v>
      </c>
      <c r="G39" s="96">
        <f>SUM(G35:G38)</f>
        <v>360.5</v>
      </c>
    </row>
    <row r="40" spans="1:8" ht="20.100000000000001" customHeight="1" x14ac:dyDescent="0.2">
      <c r="A40" s="440" t="s">
        <v>87</v>
      </c>
      <c r="B40" s="440"/>
      <c r="C40" s="440"/>
      <c r="D40" s="440"/>
      <c r="E40" s="440"/>
      <c r="F40" s="440"/>
      <c r="G40" s="440"/>
    </row>
    <row r="41" spans="1:8" ht="17.25" customHeight="1" x14ac:dyDescent="0.2">
      <c r="A41" s="441" t="s">
        <v>88</v>
      </c>
      <c r="B41" s="441"/>
      <c r="C41" s="441"/>
      <c r="D41" s="441"/>
      <c r="E41" s="441"/>
      <c r="F41" s="441"/>
      <c r="G41" s="441"/>
    </row>
    <row r="42" spans="1:8" ht="20.100000000000001" customHeight="1" x14ac:dyDescent="0.2">
      <c r="A42" s="440" t="s">
        <v>89</v>
      </c>
      <c r="B42" s="440"/>
      <c r="C42" s="440"/>
      <c r="D42" s="440"/>
      <c r="E42" s="440"/>
      <c r="F42" s="440"/>
      <c r="G42" s="440"/>
    </row>
    <row r="43" spans="1:8" ht="11.25" customHeight="1" x14ac:dyDescent="0.2">
      <c r="A43" s="97"/>
      <c r="B43" s="98"/>
      <c r="C43" s="98"/>
      <c r="D43" s="98"/>
      <c r="E43" s="98"/>
      <c r="F43" s="99"/>
      <c r="G43" s="100"/>
    </row>
    <row r="44" spans="1:8" ht="15.95" customHeight="1" x14ac:dyDescent="0.2">
      <c r="A44" s="101"/>
      <c r="B44" s="442" t="s">
        <v>90</v>
      </c>
      <c r="C44" s="442"/>
      <c r="D44" s="442"/>
      <c r="E44" s="442"/>
      <c r="F44" s="102" t="s">
        <v>91</v>
      </c>
      <c r="G44" s="103" t="s">
        <v>82</v>
      </c>
    </row>
    <row r="45" spans="1:8" ht="15.95" customHeight="1" x14ac:dyDescent="0.2">
      <c r="A45" s="370" t="s">
        <v>52</v>
      </c>
      <c r="B45" s="443" t="s">
        <v>92</v>
      </c>
      <c r="C45" s="443"/>
      <c r="D45" s="443"/>
      <c r="E45" s="443"/>
      <c r="F45" s="386">
        <v>0.2</v>
      </c>
      <c r="G45" s="96">
        <f>ROUND(F45*G30,2)</f>
        <v>376.01</v>
      </c>
      <c r="H45" s="356"/>
    </row>
    <row r="46" spans="1:8" ht="15.95" customHeight="1" x14ac:dyDescent="0.2">
      <c r="A46" s="370" t="s">
        <v>56</v>
      </c>
      <c r="B46" s="443" t="s">
        <v>93</v>
      </c>
      <c r="C46" s="443"/>
      <c r="D46" s="443"/>
      <c r="E46" s="443"/>
      <c r="F46" s="386">
        <v>1.4999999999999999E-2</v>
      </c>
      <c r="G46" s="379">
        <f>ROUND(F46*G30,2)</f>
        <v>28.2</v>
      </c>
      <c r="H46" s="356"/>
    </row>
    <row r="47" spans="1:8" ht="15.95" customHeight="1" x14ac:dyDescent="0.2">
      <c r="A47" s="370" t="s">
        <v>58</v>
      </c>
      <c r="B47" s="443" t="s">
        <v>94</v>
      </c>
      <c r="C47" s="443"/>
      <c r="D47" s="443"/>
      <c r="E47" s="443"/>
      <c r="F47" s="386">
        <v>0.01</v>
      </c>
      <c r="G47" s="379">
        <f>ROUND(F47*G30,2)</f>
        <v>18.8</v>
      </c>
    </row>
    <row r="48" spans="1:8" ht="15.95" customHeight="1" x14ac:dyDescent="0.2">
      <c r="A48" s="370" t="s">
        <v>68</v>
      </c>
      <c r="B48" s="443" t="s">
        <v>95</v>
      </c>
      <c r="C48" s="443"/>
      <c r="D48" s="443"/>
      <c r="E48" s="443"/>
      <c r="F48" s="386">
        <v>2E-3</v>
      </c>
      <c r="G48" s="379">
        <f>ROUND(F48*G30,2)</f>
        <v>3.76</v>
      </c>
    </row>
    <row r="49" spans="1:8" ht="27.95" customHeight="1" x14ac:dyDescent="0.2">
      <c r="A49" s="370" t="s">
        <v>72</v>
      </c>
      <c r="B49" s="439" t="s">
        <v>96</v>
      </c>
      <c r="C49" s="439"/>
      <c r="D49" s="439"/>
      <c r="E49" s="439"/>
      <c r="F49" s="386">
        <v>2.5000000000000001E-2</v>
      </c>
      <c r="G49" s="379">
        <f>ROUND(F49*G30,2)</f>
        <v>47</v>
      </c>
      <c r="H49" s="356"/>
    </row>
    <row r="50" spans="1:8" ht="15.95" customHeight="1" x14ac:dyDescent="0.2">
      <c r="A50" s="370" t="s">
        <v>74</v>
      </c>
      <c r="B50" s="443" t="s">
        <v>97</v>
      </c>
      <c r="C50" s="443"/>
      <c r="D50" s="443"/>
      <c r="E50" s="443"/>
      <c r="F50" s="386">
        <v>0.08</v>
      </c>
      <c r="G50" s="379">
        <f>ROUND(F50*G30,2)</f>
        <v>150.4</v>
      </c>
    </row>
    <row r="51" spans="1:8" ht="25.5" customHeight="1" x14ac:dyDescent="0.2">
      <c r="A51" s="370" t="s">
        <v>76</v>
      </c>
      <c r="B51" s="105" t="s">
        <v>98</v>
      </c>
      <c r="C51" s="106">
        <v>0.03</v>
      </c>
      <c r="D51" s="374" t="s">
        <v>99</v>
      </c>
      <c r="E51" s="107">
        <v>2</v>
      </c>
      <c r="F51" s="386">
        <f>ROUND(C51*E51,2)</f>
        <v>0.06</v>
      </c>
      <c r="G51" s="379">
        <f>ROUND(F51*G30,2)</f>
        <v>112.8</v>
      </c>
    </row>
    <row r="52" spans="1:8" ht="15.95" customHeight="1" x14ac:dyDescent="0.2">
      <c r="A52" s="370" t="s">
        <v>100</v>
      </c>
      <c r="B52" s="443" t="s">
        <v>101</v>
      </c>
      <c r="C52" s="443"/>
      <c r="D52" s="443"/>
      <c r="E52" s="443"/>
      <c r="F52" s="386">
        <v>6.0000000000000001E-3</v>
      </c>
      <c r="G52" s="379">
        <f>ROUND(G30*F52,2)</f>
        <v>11.28</v>
      </c>
    </row>
    <row r="53" spans="1:8" ht="15.95" customHeight="1" x14ac:dyDescent="0.2">
      <c r="A53" s="391"/>
      <c r="B53" s="444" t="s">
        <v>86</v>
      </c>
      <c r="C53" s="444"/>
      <c r="D53" s="444"/>
      <c r="E53" s="444"/>
      <c r="F53" s="108">
        <f>SUM(F45:F52)</f>
        <v>0.39800000000000008</v>
      </c>
      <c r="G53" s="76">
        <f>SUM(G45:G52)</f>
        <v>748.24999999999989</v>
      </c>
    </row>
    <row r="54" spans="1:8" ht="15.95" customHeight="1" x14ac:dyDescent="0.2">
      <c r="A54" s="445" t="s">
        <v>102</v>
      </c>
      <c r="B54" s="445"/>
      <c r="C54" s="445"/>
      <c r="D54" s="445"/>
      <c r="E54" s="445"/>
      <c r="F54" s="445"/>
      <c r="G54" s="445"/>
    </row>
    <row r="55" spans="1:8" ht="15.95" customHeight="1" x14ac:dyDescent="0.2">
      <c r="A55" s="441" t="s">
        <v>103</v>
      </c>
      <c r="B55" s="441"/>
      <c r="C55" s="441"/>
      <c r="D55" s="441"/>
      <c r="E55" s="441"/>
      <c r="F55" s="441"/>
      <c r="G55" s="441"/>
    </row>
    <row r="56" spans="1:8" ht="15.95" customHeight="1" x14ac:dyDescent="0.2">
      <c r="A56" s="446" t="s">
        <v>104</v>
      </c>
      <c r="B56" s="446"/>
      <c r="C56" s="446"/>
      <c r="D56" s="446"/>
      <c r="E56" s="446"/>
      <c r="F56" s="446"/>
      <c r="G56" s="446"/>
    </row>
    <row r="57" spans="1:8" ht="13.5" customHeight="1" x14ac:dyDescent="0.2">
      <c r="A57" s="109"/>
      <c r="B57" s="110"/>
      <c r="C57" s="109"/>
      <c r="D57" s="109"/>
      <c r="E57" s="109"/>
      <c r="F57" s="109"/>
      <c r="G57" s="111"/>
    </row>
    <row r="58" spans="1:8" ht="15.95" customHeight="1" x14ac:dyDescent="0.2">
      <c r="A58" s="112"/>
      <c r="B58" s="113" t="s">
        <v>105</v>
      </c>
      <c r="C58" s="114"/>
      <c r="D58" s="114"/>
      <c r="E58" s="114"/>
      <c r="F58" s="115"/>
      <c r="G58" s="83" t="s">
        <v>82</v>
      </c>
    </row>
    <row r="59" spans="1:8" ht="15.95" customHeight="1" x14ac:dyDescent="0.2">
      <c r="A59" s="370" t="s">
        <v>52</v>
      </c>
      <c r="B59" s="443" t="s">
        <v>106</v>
      </c>
      <c r="C59" s="443"/>
      <c r="D59" s="443"/>
      <c r="E59" s="443"/>
      <c r="F59" s="443"/>
      <c r="G59" s="379">
        <f>'Aux submod 2.3 -BENEFICIOS OM'!G10</f>
        <v>0</v>
      </c>
    </row>
    <row r="60" spans="1:8" ht="15.95" customHeight="1" x14ac:dyDescent="0.2">
      <c r="A60" s="370" t="s">
        <v>56</v>
      </c>
      <c r="B60" s="443" t="s">
        <v>107</v>
      </c>
      <c r="C60" s="443"/>
      <c r="D60" s="443"/>
      <c r="E60" s="443"/>
      <c r="F60" s="443"/>
      <c r="G60" s="379">
        <f>'Aux submod 2.3 -BENEFICIOS TR'!G13</f>
        <v>443.52</v>
      </c>
    </row>
    <row r="61" spans="1:8" ht="15.95" customHeight="1" x14ac:dyDescent="0.2">
      <c r="A61" s="370" t="s">
        <v>58</v>
      </c>
      <c r="B61" s="443" t="s">
        <v>108</v>
      </c>
      <c r="C61" s="443"/>
      <c r="D61" s="443"/>
      <c r="E61" s="443"/>
      <c r="F61" s="443"/>
      <c r="G61" s="379">
        <f>'Aux submod 2.3 -BENEFICIOS OM'!G16</f>
        <v>322.75</v>
      </c>
    </row>
    <row r="62" spans="1:8" ht="15.95" customHeight="1" x14ac:dyDescent="0.2">
      <c r="A62" s="370" t="s">
        <v>68</v>
      </c>
      <c r="B62" s="443" t="s">
        <v>109</v>
      </c>
      <c r="C62" s="443"/>
      <c r="D62" s="443"/>
      <c r="E62" s="443"/>
      <c r="F62" s="443"/>
      <c r="G62" s="379">
        <v>0</v>
      </c>
    </row>
    <row r="63" spans="1:8" ht="15.95" customHeight="1" x14ac:dyDescent="0.2">
      <c r="A63" s="370" t="s">
        <v>110</v>
      </c>
      <c r="B63" s="437" t="s">
        <v>111</v>
      </c>
      <c r="C63" s="437"/>
      <c r="D63" s="437"/>
      <c r="E63" s="437"/>
      <c r="F63" s="437"/>
      <c r="G63" s="379">
        <f>'Aux submod 2.3 -BENEFICIOS OM'!G20</f>
        <v>0</v>
      </c>
    </row>
    <row r="64" spans="1:8" ht="15.95" customHeight="1" x14ac:dyDescent="0.2">
      <c r="A64" s="393"/>
      <c r="B64" s="443" t="s">
        <v>325</v>
      </c>
      <c r="C64" s="443"/>
      <c r="D64" s="443"/>
      <c r="E64" s="443"/>
      <c r="F64" s="443"/>
      <c r="G64" s="371">
        <v>22.93</v>
      </c>
    </row>
    <row r="65" spans="1:8" ht="15.95" customHeight="1" x14ac:dyDescent="0.2">
      <c r="A65" s="370" t="s">
        <v>72</v>
      </c>
      <c r="B65" s="447" t="s">
        <v>113</v>
      </c>
      <c r="C65" s="447"/>
      <c r="D65" s="447"/>
      <c r="E65" s="447"/>
      <c r="F65" s="447"/>
      <c r="G65" s="379">
        <f>'Aux submod 2.3 -BENEFICIOS OM'!G21</f>
        <v>0</v>
      </c>
    </row>
    <row r="66" spans="1:8" ht="15.95" customHeight="1" x14ac:dyDescent="0.2">
      <c r="A66" s="391"/>
      <c r="B66" s="444" t="s">
        <v>114</v>
      </c>
      <c r="C66" s="444"/>
      <c r="D66" s="444"/>
      <c r="E66" s="444"/>
      <c r="F66" s="444"/>
      <c r="G66" s="76">
        <f>SUM(G59:G65)</f>
        <v>789.19999999999993</v>
      </c>
    </row>
    <row r="67" spans="1:8" ht="17.25" customHeight="1" x14ac:dyDescent="0.2">
      <c r="A67" s="445" t="s">
        <v>115</v>
      </c>
      <c r="B67" s="445"/>
      <c r="C67" s="445"/>
      <c r="D67" s="445"/>
      <c r="E67" s="445"/>
      <c r="F67" s="445"/>
      <c r="G67" s="445"/>
    </row>
    <row r="68" spans="1:8" ht="21.75" customHeight="1" x14ac:dyDescent="0.2">
      <c r="A68" s="441" t="s">
        <v>116</v>
      </c>
      <c r="B68" s="441"/>
      <c r="C68" s="441"/>
      <c r="D68" s="441"/>
      <c r="E68" s="441"/>
      <c r="F68" s="441"/>
      <c r="G68" s="441"/>
    </row>
    <row r="69" spans="1:8" ht="13.5" customHeight="1" x14ac:dyDescent="0.2">
      <c r="B69" s="117"/>
      <c r="C69" s="118"/>
      <c r="D69" s="119"/>
      <c r="E69" s="119"/>
      <c r="F69" s="119"/>
      <c r="G69" s="119"/>
    </row>
    <row r="70" spans="1:8" ht="15.95" customHeight="1" x14ac:dyDescent="0.2">
      <c r="A70" s="120">
        <v>2</v>
      </c>
      <c r="B70" s="121" t="s">
        <v>117</v>
      </c>
      <c r="C70" s="122"/>
      <c r="D70" s="123"/>
      <c r="E70" s="123"/>
      <c r="F70" s="124"/>
      <c r="G70" s="125" t="s">
        <v>82</v>
      </c>
    </row>
    <row r="71" spans="1:8" ht="15.95" customHeight="1" x14ac:dyDescent="0.2">
      <c r="A71" s="126" t="s">
        <v>118</v>
      </c>
      <c r="B71" s="127" t="s">
        <v>119</v>
      </c>
      <c r="C71" s="128"/>
      <c r="D71" s="129"/>
      <c r="E71" s="129"/>
      <c r="F71" s="129"/>
      <c r="G71" s="130">
        <f>G39</f>
        <v>360.5</v>
      </c>
    </row>
    <row r="72" spans="1:8" ht="15.95" customHeight="1" x14ac:dyDescent="0.2">
      <c r="A72" s="126" t="s">
        <v>120</v>
      </c>
      <c r="B72" s="127" t="s">
        <v>121</v>
      </c>
      <c r="C72" s="128"/>
      <c r="D72" s="129"/>
      <c r="E72" s="129"/>
      <c r="F72" s="129"/>
      <c r="G72" s="130">
        <f>G53</f>
        <v>748.24999999999989</v>
      </c>
    </row>
    <row r="73" spans="1:8" ht="15.95" customHeight="1" x14ac:dyDescent="0.2">
      <c r="A73" s="126" t="s">
        <v>122</v>
      </c>
      <c r="B73" s="127" t="s">
        <v>123</v>
      </c>
      <c r="C73" s="128"/>
      <c r="D73" s="129"/>
      <c r="E73" s="129"/>
      <c r="F73" s="129"/>
      <c r="G73" s="130">
        <f>G66</f>
        <v>789.19999999999993</v>
      </c>
    </row>
    <row r="74" spans="1:8" ht="15.95" customHeight="1" x14ac:dyDescent="0.2">
      <c r="A74" s="126"/>
      <c r="B74" s="448" t="s">
        <v>124</v>
      </c>
      <c r="C74" s="448"/>
      <c r="D74" s="448"/>
      <c r="E74" s="448"/>
      <c r="F74" s="448"/>
      <c r="G74" s="131">
        <f>SUM(G71:G73)</f>
        <v>1897.9499999999998</v>
      </c>
    </row>
    <row r="75" spans="1:8" ht="20.100000000000001" customHeight="1" x14ac:dyDescent="0.2">
      <c r="B75" s="117"/>
      <c r="C75" s="118"/>
      <c r="D75" s="119"/>
      <c r="E75" s="119"/>
      <c r="F75" s="119"/>
      <c r="G75" s="119"/>
    </row>
    <row r="76" spans="1:8" s="132" customFormat="1" ht="15.95" customHeight="1" x14ac:dyDescent="0.2">
      <c r="A76" s="449" t="s">
        <v>125</v>
      </c>
      <c r="B76" s="449"/>
      <c r="C76" s="449"/>
      <c r="D76" s="449"/>
      <c r="E76" s="449"/>
      <c r="F76" s="449"/>
      <c r="G76" s="449"/>
    </row>
    <row r="77" spans="1:8" s="132" customFormat="1" ht="15.95" customHeight="1" x14ac:dyDescent="0.2">
      <c r="A77" s="133">
        <v>3</v>
      </c>
      <c r="B77" s="450" t="s">
        <v>126</v>
      </c>
      <c r="C77" s="450"/>
      <c r="D77" s="450"/>
      <c r="E77" s="450"/>
      <c r="F77" s="450"/>
      <c r="G77" s="135" t="s">
        <v>51</v>
      </c>
    </row>
    <row r="78" spans="1:8" s="132" customFormat="1" ht="15.95" customHeight="1" x14ac:dyDescent="0.2">
      <c r="A78" s="443" t="s">
        <v>52</v>
      </c>
      <c r="B78" s="443" t="s">
        <v>127</v>
      </c>
      <c r="C78" s="443"/>
      <c r="D78" s="443"/>
      <c r="E78" s="375" t="s">
        <v>128</v>
      </c>
      <c r="F78" s="451">
        <f>((E79/30)/12)*D79</f>
        <v>4.1666666666666666E-3</v>
      </c>
      <c r="G78" s="452">
        <f>ROUND(G30*F78,2)</f>
        <v>7.83</v>
      </c>
    </row>
    <row r="79" spans="1:8" s="132" customFormat="1" ht="15.95" customHeight="1" x14ac:dyDescent="0.2">
      <c r="A79" s="443"/>
      <c r="B79" s="443" t="s">
        <v>129</v>
      </c>
      <c r="C79" s="443"/>
      <c r="D79" s="106">
        <v>0.05</v>
      </c>
      <c r="E79" s="136">
        <v>30</v>
      </c>
      <c r="F79" s="451"/>
      <c r="G79" s="452"/>
      <c r="H79" s="137"/>
    </row>
    <row r="80" spans="1:8" ht="15.95" customHeight="1" x14ac:dyDescent="0.2">
      <c r="A80" s="375" t="s">
        <v>56</v>
      </c>
      <c r="B80" s="437" t="s">
        <v>130</v>
      </c>
      <c r="C80" s="437"/>
      <c r="D80" s="437"/>
      <c r="E80" s="437"/>
      <c r="F80" s="378">
        <f>F50*F78</f>
        <v>3.3333333333333332E-4</v>
      </c>
      <c r="G80" s="379">
        <f>ROUND(G30*F80,2)</f>
        <v>0.63</v>
      </c>
    </row>
    <row r="81" spans="1:8" ht="15.95" customHeight="1" x14ac:dyDescent="0.2">
      <c r="A81" s="380" t="s">
        <v>58</v>
      </c>
      <c r="B81" s="443" t="s">
        <v>131</v>
      </c>
      <c r="C81" s="443"/>
      <c r="D81" s="443"/>
      <c r="E81" s="443"/>
      <c r="F81" s="139">
        <f>F80*40%</f>
        <v>1.3333333333333334E-4</v>
      </c>
      <c r="G81" s="379">
        <f>ROUND(G30*F81,2)</f>
        <v>0.25</v>
      </c>
      <c r="H81" s="13" t="s">
        <v>297</v>
      </c>
    </row>
    <row r="82" spans="1:8" ht="15.95" customHeight="1" x14ac:dyDescent="0.2">
      <c r="A82" s="437" t="s">
        <v>132</v>
      </c>
      <c r="B82" s="447" t="s">
        <v>133</v>
      </c>
      <c r="C82" s="447"/>
      <c r="D82" s="447"/>
      <c r="E82" s="447"/>
      <c r="F82" s="451">
        <f>(7/30)/E83</f>
        <v>1.9444444444444445E-2</v>
      </c>
      <c r="G82" s="453">
        <f>ROUND(G30*F82,2)</f>
        <v>36.56</v>
      </c>
    </row>
    <row r="83" spans="1:8" ht="15.95" customHeight="1" x14ac:dyDescent="0.2">
      <c r="A83" s="437"/>
      <c r="B83" s="140" t="s">
        <v>129</v>
      </c>
      <c r="C83" s="141">
        <v>1</v>
      </c>
      <c r="D83" s="142" t="s">
        <v>134</v>
      </c>
      <c r="E83" s="143">
        <v>12</v>
      </c>
      <c r="F83" s="451"/>
      <c r="G83" s="453"/>
    </row>
    <row r="84" spans="1:8" ht="15.95" customHeight="1" x14ac:dyDescent="0.2">
      <c r="A84" s="437" t="s">
        <v>135</v>
      </c>
      <c r="B84" s="454" t="s">
        <v>136</v>
      </c>
      <c r="C84" s="438"/>
      <c r="D84" s="455"/>
      <c r="E84" s="375" t="s">
        <v>128</v>
      </c>
      <c r="F84" s="456">
        <f>((E85/30)/12)*D85</f>
        <v>3.8888888888888892E-4</v>
      </c>
      <c r="G84" s="453">
        <f>ROUND(G$30*F84,2)</f>
        <v>0.73</v>
      </c>
    </row>
    <row r="85" spans="1:8" ht="15.95" customHeight="1" x14ac:dyDescent="0.2">
      <c r="A85" s="447"/>
      <c r="B85" s="454" t="s">
        <v>129</v>
      </c>
      <c r="C85" s="455"/>
      <c r="D85" s="106">
        <v>0.02</v>
      </c>
      <c r="E85" s="136">
        <v>7</v>
      </c>
      <c r="F85" s="457"/>
      <c r="G85" s="458">
        <f>ROUND(G$30*F85,2)</f>
        <v>0</v>
      </c>
    </row>
    <row r="86" spans="1:8" ht="15.95" customHeight="1" x14ac:dyDescent="0.2">
      <c r="A86" s="376" t="s">
        <v>72</v>
      </c>
      <c r="B86" s="443" t="s">
        <v>137</v>
      </c>
      <c r="C86" s="443"/>
      <c r="D86" s="443"/>
      <c r="E86" s="443"/>
      <c r="F86" s="378">
        <f>(F82+F84)*$F$53</f>
        <v>7.8936666666666686E-3</v>
      </c>
      <c r="G86" s="379">
        <f>ROUND(G$30*F86,2)</f>
        <v>14.84</v>
      </c>
    </row>
    <row r="87" spans="1:8" ht="15.95" customHeight="1" x14ac:dyDescent="0.2">
      <c r="A87" s="375" t="s">
        <v>74</v>
      </c>
      <c r="B87" s="443" t="s">
        <v>298</v>
      </c>
      <c r="C87" s="443"/>
      <c r="D87" s="443"/>
      <c r="E87" s="443"/>
      <c r="F87" s="386">
        <v>0.04</v>
      </c>
      <c r="G87" s="379">
        <f>ROUND(G$30*F87,2)</f>
        <v>75.2</v>
      </c>
      <c r="H87" s="356">
        <f>(1+1/12+(1/12+1/12/3))*0.08*0.4</f>
        <v>3.8222222222222227E-2</v>
      </c>
    </row>
    <row r="88" spans="1:8" ht="15.95" customHeight="1" x14ac:dyDescent="0.2">
      <c r="A88" s="375"/>
      <c r="B88" s="459" t="s">
        <v>86</v>
      </c>
      <c r="C88" s="459"/>
      <c r="D88" s="459"/>
      <c r="E88" s="459"/>
      <c r="F88" s="145">
        <f>SUM(F78:F87)</f>
        <v>7.2360333333333332E-2</v>
      </c>
      <c r="G88" s="96">
        <f>SUM(G78:G87)</f>
        <v>136.04000000000002</v>
      </c>
    </row>
    <row r="89" spans="1:8" s="41" customFormat="1" ht="13.5" customHeight="1" x14ac:dyDescent="0.2"/>
    <row r="90" spans="1:8" s="41" customFormat="1" ht="20.100000000000001" customHeight="1" x14ac:dyDescent="0.2">
      <c r="A90" s="449" t="s">
        <v>139</v>
      </c>
      <c r="B90" s="449"/>
      <c r="C90" s="449"/>
      <c r="D90" s="449"/>
      <c r="E90" s="449"/>
      <c r="F90" s="449"/>
      <c r="G90" s="449"/>
    </row>
    <row r="91" spans="1:8" s="41" customFormat="1" ht="20.100000000000001" customHeight="1" x14ac:dyDescent="0.2">
      <c r="A91" s="369" t="s">
        <v>140</v>
      </c>
      <c r="B91" s="450" t="s">
        <v>141</v>
      </c>
      <c r="C91" s="450"/>
      <c r="D91" s="450"/>
      <c r="E91" s="450"/>
      <c r="F91" s="450"/>
      <c r="G91" s="135" t="s">
        <v>82</v>
      </c>
    </row>
    <row r="92" spans="1:8" s="41" customFormat="1" ht="39.75" customHeight="1" x14ac:dyDescent="0.2">
      <c r="A92" s="146"/>
      <c r="B92" s="460" t="s">
        <v>288</v>
      </c>
      <c r="C92" s="460"/>
      <c r="D92" s="460"/>
      <c r="E92" s="460"/>
      <c r="F92" s="460"/>
      <c r="G92" s="147">
        <f>G30+G35+G36</f>
        <v>2093.5100000000002</v>
      </c>
    </row>
    <row r="93" spans="1:8" s="41" customFormat="1" ht="15.95" customHeight="1" x14ac:dyDescent="0.2">
      <c r="A93" s="376" t="s">
        <v>52</v>
      </c>
      <c r="B93" s="447" t="s">
        <v>142</v>
      </c>
      <c r="C93" s="447"/>
      <c r="D93" s="447"/>
      <c r="E93" s="447"/>
      <c r="F93" s="361">
        <f>9.075%</f>
        <v>9.0749999999999997E-2</v>
      </c>
      <c r="G93" s="148">
        <f>ROUND(G30*F93,2)</f>
        <v>170.61</v>
      </c>
    </row>
    <row r="94" spans="1:8" s="41" customFormat="1" ht="15.95" customHeight="1" x14ac:dyDescent="0.2">
      <c r="A94" s="375" t="s">
        <v>56</v>
      </c>
      <c r="B94" s="443" t="s">
        <v>143</v>
      </c>
      <c r="C94" s="443"/>
      <c r="D94" s="443"/>
      <c r="E94" s="443">
        <v>1.4999999999999999E-2</v>
      </c>
      <c r="F94" s="451">
        <f>E95/30/12</f>
        <v>1.3888888888888888E-2</v>
      </c>
      <c r="G94" s="461">
        <f>ROUND(G$92*F94,2)</f>
        <v>29.08</v>
      </c>
    </row>
    <row r="95" spans="1:8" s="41" customFormat="1" ht="15.95" customHeight="1" x14ac:dyDescent="0.2">
      <c r="A95" s="375"/>
      <c r="B95" s="462" t="s">
        <v>144</v>
      </c>
      <c r="C95" s="462"/>
      <c r="D95" s="462"/>
      <c r="E95" s="136">
        <v>5</v>
      </c>
      <c r="F95" s="451">
        <f>(E96/30)/12</f>
        <v>1.3888888888888888E-2</v>
      </c>
      <c r="G95" s="461">
        <f t="shared" ref="G95:G102" si="0">ROUND(G$92*F95,2)</f>
        <v>29.08</v>
      </c>
    </row>
    <row r="96" spans="1:8" s="41" customFormat="1" ht="27" customHeight="1" x14ac:dyDescent="0.2">
      <c r="A96" s="375" t="s">
        <v>58</v>
      </c>
      <c r="B96" s="439" t="s">
        <v>145</v>
      </c>
      <c r="C96" s="439"/>
      <c r="D96" s="374" t="s">
        <v>146</v>
      </c>
      <c r="E96" s="136">
        <v>5</v>
      </c>
      <c r="F96" s="463">
        <f>((E96/30)/12)*E97</f>
        <v>2.0833333333333332E-4</v>
      </c>
      <c r="G96" s="384">
        <f>ROUND(G$92*F96,2)</f>
        <v>0.44</v>
      </c>
    </row>
    <row r="97" spans="1:8" s="41" customFormat="1" ht="15.95" customHeight="1" x14ac:dyDescent="0.2">
      <c r="A97" s="375"/>
      <c r="B97" s="443" t="s">
        <v>129</v>
      </c>
      <c r="C97" s="443"/>
      <c r="D97" s="443"/>
      <c r="E97" s="106">
        <v>1.4999999999999999E-2</v>
      </c>
      <c r="F97" s="463">
        <f>((E97/30)/12)*E98</f>
        <v>0</v>
      </c>
      <c r="G97" s="384">
        <f t="shared" si="0"/>
        <v>0</v>
      </c>
    </row>
    <row r="98" spans="1:8" s="41" customFormat="1" ht="15.95" customHeight="1" x14ac:dyDescent="0.2">
      <c r="A98" s="375" t="s">
        <v>68</v>
      </c>
      <c r="B98" s="443" t="s">
        <v>147</v>
      </c>
      <c r="C98" s="443"/>
      <c r="D98" s="443"/>
      <c r="E98" s="443"/>
      <c r="F98" s="464">
        <f>E99/30/12</f>
        <v>2.7777777777777779E-3</v>
      </c>
      <c r="G98" s="384">
        <f>ROUND(G$92*F98,2)</f>
        <v>5.82</v>
      </c>
    </row>
    <row r="99" spans="1:8" s="41" customFormat="1" ht="15.95" customHeight="1" x14ac:dyDescent="0.2">
      <c r="A99" s="375"/>
      <c r="B99" s="443" t="s">
        <v>144</v>
      </c>
      <c r="C99" s="443"/>
      <c r="D99" s="443"/>
      <c r="E99" s="136">
        <v>1</v>
      </c>
      <c r="F99" s="464"/>
      <c r="G99" s="384">
        <f t="shared" si="0"/>
        <v>0</v>
      </c>
    </row>
    <row r="100" spans="1:8" s="41" customFormat="1" ht="28.5" customHeight="1" x14ac:dyDescent="0.2">
      <c r="A100" s="375" t="s">
        <v>72</v>
      </c>
      <c r="B100" s="439" t="s">
        <v>148</v>
      </c>
      <c r="C100" s="439"/>
      <c r="D100" s="374" t="s">
        <v>149</v>
      </c>
      <c r="E100" s="136">
        <v>15</v>
      </c>
      <c r="F100" s="451">
        <f>((E100/30)/12)*E101</f>
        <v>3.3333333333333331E-3</v>
      </c>
      <c r="G100" s="384">
        <f>ROUND(G$92*F100,2)</f>
        <v>6.98</v>
      </c>
    </row>
    <row r="101" spans="1:8" s="41" customFormat="1" ht="15.95" customHeight="1" x14ac:dyDescent="0.2">
      <c r="A101" s="375"/>
      <c r="B101" s="443" t="s">
        <v>129</v>
      </c>
      <c r="C101" s="443"/>
      <c r="D101" s="443"/>
      <c r="E101" s="106">
        <v>0.08</v>
      </c>
      <c r="F101" s="451"/>
      <c r="G101" s="384">
        <f t="shared" si="0"/>
        <v>0</v>
      </c>
    </row>
    <row r="102" spans="1:8" s="41" customFormat="1" ht="27.75" customHeight="1" x14ac:dyDescent="0.2">
      <c r="A102" s="375" t="s">
        <v>74</v>
      </c>
      <c r="B102" s="439" t="s">
        <v>150</v>
      </c>
      <c r="C102" s="439"/>
      <c r="D102" s="374" t="s">
        <v>151</v>
      </c>
      <c r="E102" s="149">
        <v>0.02</v>
      </c>
      <c r="F102" s="150">
        <v>6.9999999999999999E-4</v>
      </c>
      <c r="G102" s="384">
        <f t="shared" si="0"/>
        <v>1.47</v>
      </c>
    </row>
    <row r="103" spans="1:8" s="41" customFormat="1" ht="15.95" customHeight="1" x14ac:dyDescent="0.2">
      <c r="A103" s="375"/>
      <c r="B103" s="443" t="s">
        <v>152</v>
      </c>
      <c r="C103" s="443"/>
      <c r="D103" s="443"/>
      <c r="E103" s="443"/>
      <c r="F103" s="443"/>
      <c r="G103" s="384">
        <f>SUM(G96:G102)+G94+G93</f>
        <v>214.4</v>
      </c>
    </row>
    <row r="104" spans="1:8" s="41" customFormat="1" ht="28.5" customHeight="1" x14ac:dyDescent="0.2">
      <c r="A104" s="375" t="s">
        <v>76</v>
      </c>
      <c r="B104" s="439" t="s">
        <v>153</v>
      </c>
      <c r="C104" s="439"/>
      <c r="D104" s="439"/>
      <c r="E104" s="439"/>
      <c r="F104" s="151"/>
      <c r="G104" s="384">
        <f>G103*F53</f>
        <v>85.331200000000024</v>
      </c>
      <c r="H104" s="152"/>
    </row>
    <row r="105" spans="1:8" s="41" customFormat="1" ht="15.95" customHeight="1" x14ac:dyDescent="0.2">
      <c r="A105" s="375"/>
      <c r="B105" s="465" t="s">
        <v>154</v>
      </c>
      <c r="C105" s="465"/>
      <c r="D105" s="465"/>
      <c r="E105" s="465"/>
      <c r="F105" s="95"/>
      <c r="G105" s="76">
        <f>SUM(G103:G104)</f>
        <v>299.73120000000006</v>
      </c>
    </row>
    <row r="106" spans="1:8" s="41" customFormat="1" ht="18.75" customHeight="1" x14ac:dyDescent="0.2">
      <c r="A106" s="441" t="s">
        <v>155</v>
      </c>
      <c r="B106" s="441"/>
      <c r="C106" s="441"/>
      <c r="D106" s="441"/>
      <c r="E106" s="441"/>
      <c r="F106" s="441"/>
      <c r="G106" s="441"/>
    </row>
    <row r="107" spans="1:8" s="41" customFormat="1" ht="18.75" customHeight="1" x14ac:dyDescent="0.2">
      <c r="A107" s="441" t="s">
        <v>156</v>
      </c>
      <c r="B107" s="441"/>
      <c r="C107" s="441"/>
      <c r="D107" s="441"/>
      <c r="E107" s="441"/>
      <c r="F107" s="441"/>
      <c r="G107" s="441"/>
    </row>
    <row r="108" spans="1:8" s="41" customFormat="1" ht="20.100000000000001" customHeight="1" x14ac:dyDescent="0.2">
      <c r="E108" s="364"/>
      <c r="F108" s="363"/>
      <c r="H108" s="365"/>
    </row>
    <row r="109" spans="1:8" s="41" customFormat="1" ht="15.95" customHeight="1" x14ac:dyDescent="0.2">
      <c r="A109" s="153"/>
      <c r="B109" s="154" t="s">
        <v>157</v>
      </c>
      <c r="C109" s="155"/>
      <c r="D109" s="155"/>
      <c r="E109" s="155"/>
      <c r="F109" s="156"/>
      <c r="G109" s="157" t="s">
        <v>82</v>
      </c>
    </row>
    <row r="110" spans="1:8" s="41" customFormat="1" ht="15.95" customHeight="1" x14ac:dyDescent="0.2">
      <c r="A110" s="158" t="s">
        <v>52</v>
      </c>
      <c r="B110" s="159" t="s">
        <v>158</v>
      </c>
      <c r="C110" s="160"/>
      <c r="D110" s="160"/>
      <c r="E110" s="160"/>
      <c r="F110" s="95"/>
      <c r="G110" s="161">
        <v>0</v>
      </c>
      <c r="H110" s="364">
        <f>284.02</f>
        <v>284.02</v>
      </c>
    </row>
    <row r="111" spans="1:8" s="41" customFormat="1" ht="20.100000000000001" customHeight="1" x14ac:dyDescent="0.2">
      <c r="A111" s="97"/>
      <c r="B111" s="98"/>
      <c r="C111" s="98"/>
      <c r="D111" s="98"/>
      <c r="E111" s="98"/>
      <c r="F111" s="162"/>
      <c r="G111" s="163"/>
      <c r="H111" s="368">
        <f>G110-H110</f>
        <v>-284.02</v>
      </c>
    </row>
    <row r="112" spans="1:8" s="41" customFormat="1" ht="15.95" customHeight="1" x14ac:dyDescent="0.2">
      <c r="A112" s="164">
        <v>4</v>
      </c>
      <c r="B112" s="165" t="s">
        <v>159</v>
      </c>
      <c r="C112" s="166"/>
      <c r="D112" s="167"/>
      <c r="E112" s="167"/>
      <c r="F112" s="168"/>
      <c r="G112" s="169" t="s">
        <v>82</v>
      </c>
    </row>
    <row r="113" spans="1:7" s="41" customFormat="1" ht="15.95" customHeight="1" x14ac:dyDescent="0.2">
      <c r="A113" s="375" t="s">
        <v>160</v>
      </c>
      <c r="B113" s="170" t="s">
        <v>161</v>
      </c>
      <c r="C113" s="373"/>
      <c r="D113" s="373"/>
      <c r="E113" s="373"/>
      <c r="F113" s="171"/>
      <c r="G113" s="379">
        <f>G105</f>
        <v>299.73120000000006</v>
      </c>
    </row>
    <row r="114" spans="1:7" s="41" customFormat="1" ht="15.95" customHeight="1" x14ac:dyDescent="0.2">
      <c r="A114" s="375" t="s">
        <v>162</v>
      </c>
      <c r="B114" s="170" t="s">
        <v>163</v>
      </c>
      <c r="C114" s="373"/>
      <c r="D114" s="373"/>
      <c r="E114" s="373"/>
      <c r="F114" s="171"/>
      <c r="G114" s="379">
        <f>G110</f>
        <v>0</v>
      </c>
    </row>
    <row r="115" spans="1:7" s="41" customFormat="1" ht="15.95" customHeight="1" x14ac:dyDescent="0.2">
      <c r="A115" s="370"/>
      <c r="B115" s="383" t="s">
        <v>86</v>
      </c>
      <c r="C115" s="172"/>
      <c r="D115" s="172"/>
      <c r="E115" s="172"/>
      <c r="F115" s="173"/>
      <c r="G115" s="96">
        <f>SUM(G113:G114)</f>
        <v>299.73120000000006</v>
      </c>
    </row>
    <row r="116" spans="1:7" s="41" customFormat="1" ht="15.75" customHeight="1" x14ac:dyDescent="0.2">
      <c r="A116" s="97"/>
      <c r="B116" s="98"/>
      <c r="C116" s="98"/>
      <c r="D116" s="98"/>
      <c r="E116" s="98"/>
      <c r="F116" s="162"/>
      <c r="G116" s="163"/>
    </row>
    <row r="117" spans="1:7" ht="15.95" customHeight="1" x14ac:dyDescent="0.2">
      <c r="A117" s="436" t="s">
        <v>164</v>
      </c>
      <c r="B117" s="436"/>
      <c r="C117" s="436"/>
      <c r="D117" s="436"/>
      <c r="E117" s="436"/>
      <c r="F117" s="436"/>
      <c r="G117" s="436"/>
    </row>
    <row r="118" spans="1:7" ht="15.95" customHeight="1" x14ac:dyDescent="0.2">
      <c r="A118" s="377">
        <v>5</v>
      </c>
      <c r="B118" s="450" t="s">
        <v>165</v>
      </c>
      <c r="C118" s="450"/>
      <c r="D118" s="450"/>
      <c r="E118" s="450"/>
      <c r="F118" s="450"/>
      <c r="G118" s="135" t="s">
        <v>51</v>
      </c>
    </row>
    <row r="119" spans="1:7" ht="15.95" customHeight="1" x14ac:dyDescent="0.2">
      <c r="A119" s="376" t="s">
        <v>52</v>
      </c>
      <c r="B119" s="447" t="s">
        <v>166</v>
      </c>
      <c r="C119" s="447"/>
      <c r="D119" s="447"/>
      <c r="E119" s="447"/>
      <c r="F119" s="447"/>
      <c r="G119" s="382">
        <f>'aux mod 3- INSUMOS'!G23+'aux mod 3- INSUMOS'!G37</f>
        <v>111.93666666666667</v>
      </c>
    </row>
    <row r="120" spans="1:7" ht="15.95" customHeight="1" x14ac:dyDescent="0.2">
      <c r="A120" s="375" t="s">
        <v>56</v>
      </c>
      <c r="B120" s="443" t="s">
        <v>320</v>
      </c>
      <c r="C120" s="443"/>
      <c r="D120" s="443"/>
      <c r="E120" s="443"/>
      <c r="F120" s="443"/>
      <c r="G120" s="415">
        <v>391.96</v>
      </c>
    </row>
    <row r="121" spans="1:7" ht="15.95" customHeight="1" x14ac:dyDescent="0.2">
      <c r="A121" s="375" t="s">
        <v>58</v>
      </c>
      <c r="B121" s="443" t="s">
        <v>321</v>
      </c>
      <c r="C121" s="443"/>
      <c r="D121" s="443"/>
      <c r="E121" s="443"/>
      <c r="F121" s="443"/>
      <c r="G121" s="75">
        <v>0</v>
      </c>
    </row>
    <row r="122" spans="1:7" ht="15.95" customHeight="1" x14ac:dyDescent="0.2">
      <c r="A122" s="372"/>
      <c r="B122" s="444" t="s">
        <v>124</v>
      </c>
      <c r="C122" s="444"/>
      <c r="D122" s="444"/>
      <c r="E122" s="444"/>
      <c r="F122" s="444"/>
      <c r="G122" s="76">
        <f>SUM(G119:G121)</f>
        <v>503.89666666666665</v>
      </c>
    </row>
    <row r="123" spans="1:7" ht="14.25" customHeight="1" x14ac:dyDescent="0.2">
      <c r="A123" s="440" t="s">
        <v>167</v>
      </c>
      <c r="B123" s="440"/>
      <c r="C123" s="440"/>
      <c r="D123" s="440"/>
      <c r="E123" s="440"/>
      <c r="F123" s="440"/>
      <c r="G123" s="440"/>
    </row>
    <row r="124" spans="1:7" ht="12" customHeight="1" x14ac:dyDescent="0.2"/>
    <row r="125" spans="1:7" ht="15.95" customHeight="1" x14ac:dyDescent="0.2">
      <c r="A125" s="466" t="s">
        <v>168</v>
      </c>
      <c r="B125" s="466"/>
      <c r="C125" s="466"/>
      <c r="D125" s="466"/>
      <c r="E125" s="466"/>
      <c r="F125" s="466"/>
      <c r="G125" s="175" t="s">
        <v>169</v>
      </c>
    </row>
    <row r="126" spans="1:7" ht="15.95" customHeight="1" x14ac:dyDescent="0.2">
      <c r="A126" s="375" t="s">
        <v>52</v>
      </c>
      <c r="B126" s="443" t="s">
        <v>170</v>
      </c>
      <c r="C126" s="443"/>
      <c r="D126" s="443"/>
      <c r="E126" s="443"/>
      <c r="F126" s="443"/>
      <c r="G126" s="176">
        <f>G30</f>
        <v>1880.0300000000002</v>
      </c>
    </row>
    <row r="127" spans="1:7" ht="15.95" customHeight="1" x14ac:dyDescent="0.2">
      <c r="A127" s="375" t="s">
        <v>56</v>
      </c>
      <c r="B127" s="443" t="s">
        <v>80</v>
      </c>
      <c r="C127" s="443"/>
      <c r="D127" s="443"/>
      <c r="E127" s="443"/>
      <c r="F127" s="443"/>
      <c r="G127" s="176">
        <f>G74</f>
        <v>1897.9499999999998</v>
      </c>
    </row>
    <row r="128" spans="1:7" ht="15.95" customHeight="1" x14ac:dyDescent="0.2">
      <c r="A128" s="375" t="s">
        <v>58</v>
      </c>
      <c r="B128" s="443" t="s">
        <v>171</v>
      </c>
      <c r="C128" s="443"/>
      <c r="D128" s="443"/>
      <c r="E128" s="443"/>
      <c r="F128" s="443"/>
      <c r="G128" s="176">
        <f>G88</f>
        <v>136.04000000000002</v>
      </c>
    </row>
    <row r="129" spans="1:10" ht="15.95" customHeight="1" x14ac:dyDescent="0.2">
      <c r="A129" s="375" t="s">
        <v>68</v>
      </c>
      <c r="B129" s="437" t="s">
        <v>139</v>
      </c>
      <c r="C129" s="437"/>
      <c r="D129" s="437"/>
      <c r="E129" s="437"/>
      <c r="F129" s="437"/>
      <c r="G129" s="176">
        <f>G115</f>
        <v>299.73120000000006</v>
      </c>
    </row>
    <row r="130" spans="1:10" ht="15.95" customHeight="1" x14ac:dyDescent="0.2">
      <c r="A130" s="375" t="s">
        <v>72</v>
      </c>
      <c r="B130" s="443" t="s">
        <v>164</v>
      </c>
      <c r="C130" s="443"/>
      <c r="D130" s="443"/>
      <c r="E130" s="443"/>
      <c r="F130" s="443"/>
      <c r="G130" s="177">
        <f>G122</f>
        <v>503.89666666666665</v>
      </c>
    </row>
    <row r="131" spans="1:10" ht="15.95" customHeight="1" x14ac:dyDescent="0.2">
      <c r="A131" s="375"/>
      <c r="B131" s="467" t="s">
        <v>172</v>
      </c>
      <c r="C131" s="467"/>
      <c r="D131" s="467"/>
      <c r="E131" s="467"/>
      <c r="F131" s="467"/>
      <c r="G131" s="178">
        <f>SUM(G126:G130)</f>
        <v>4717.6478666666662</v>
      </c>
    </row>
    <row r="132" spans="1:10" ht="17.25" customHeight="1" x14ac:dyDescent="0.2">
      <c r="B132" s="179"/>
      <c r="C132" s="180"/>
      <c r="D132" s="181"/>
      <c r="E132" s="181"/>
      <c r="F132" s="181"/>
      <c r="G132" s="181"/>
    </row>
    <row r="133" spans="1:10" ht="15.95" customHeight="1" x14ac:dyDescent="0.2">
      <c r="A133" s="436" t="s">
        <v>173</v>
      </c>
      <c r="B133" s="436"/>
      <c r="C133" s="436"/>
      <c r="D133" s="436"/>
      <c r="E133" s="436"/>
      <c r="F133" s="436"/>
      <c r="G133" s="436"/>
    </row>
    <row r="134" spans="1:10" ht="15.95" customHeight="1" x14ac:dyDescent="0.2">
      <c r="A134" s="377">
        <v>5</v>
      </c>
      <c r="B134" s="450" t="s">
        <v>174</v>
      </c>
      <c r="C134" s="450"/>
      <c r="D134" s="450"/>
      <c r="E134" s="450"/>
      <c r="F134" s="377" t="s">
        <v>175</v>
      </c>
      <c r="G134" s="377" t="s">
        <v>51</v>
      </c>
    </row>
    <row r="135" spans="1:10" ht="15.95" customHeight="1" x14ac:dyDescent="0.2">
      <c r="A135" s="375" t="s">
        <v>52</v>
      </c>
      <c r="B135" s="443" t="s">
        <v>176</v>
      </c>
      <c r="C135" s="443"/>
      <c r="D135" s="443"/>
      <c r="E135" s="443"/>
      <c r="F135" s="182">
        <v>0.1</v>
      </c>
      <c r="G135" s="379">
        <f>ROUND(G131*F135,2)</f>
        <v>471.76</v>
      </c>
    </row>
    <row r="136" spans="1:10" ht="15.95" customHeight="1" x14ac:dyDescent="0.2">
      <c r="A136" s="375" t="s">
        <v>56</v>
      </c>
      <c r="B136" s="443" t="s">
        <v>177</v>
      </c>
      <c r="C136" s="443"/>
      <c r="D136" s="443"/>
      <c r="E136" s="443"/>
      <c r="F136" s="182">
        <v>6.7900000000000002E-2</v>
      </c>
      <c r="G136" s="379">
        <f>ROUND(G131*F136,2)</f>
        <v>320.33</v>
      </c>
      <c r="H136" s="183"/>
    </row>
    <row r="137" spans="1:10" ht="15.95" customHeight="1" x14ac:dyDescent="0.2">
      <c r="A137" s="443" t="s">
        <v>58</v>
      </c>
      <c r="B137" s="443" t="s">
        <v>178</v>
      </c>
      <c r="C137" s="443"/>
      <c r="D137" s="443"/>
      <c r="E137" s="443"/>
      <c r="F137" s="468">
        <f>SUM(E138:E141)</f>
        <v>8.6499999999999994E-2</v>
      </c>
      <c r="G137" s="452">
        <f>((G131+G135+G136)/(1-F137))*F137</f>
        <v>521.72121014413426</v>
      </c>
      <c r="H137" s="183"/>
    </row>
    <row r="138" spans="1:10" ht="15.95" customHeight="1" x14ac:dyDescent="0.2">
      <c r="A138" s="443"/>
      <c r="B138" s="462" t="s">
        <v>179</v>
      </c>
      <c r="C138" s="462"/>
      <c r="D138" s="184" t="s">
        <v>180</v>
      </c>
      <c r="E138" s="185">
        <v>6.4999999999999997E-3</v>
      </c>
      <c r="F138" s="468"/>
      <c r="G138" s="452"/>
      <c r="H138" s="186"/>
      <c r="I138" s="366"/>
    </row>
    <row r="139" spans="1:10" ht="15.95" customHeight="1" x14ac:dyDescent="0.2">
      <c r="A139" s="443"/>
      <c r="B139" s="462"/>
      <c r="C139" s="462"/>
      <c r="D139" s="184" t="s">
        <v>181</v>
      </c>
      <c r="E139" s="185">
        <v>0.03</v>
      </c>
      <c r="F139" s="468"/>
      <c r="G139" s="452"/>
      <c r="H139" s="186"/>
      <c r="I139" s="356"/>
    </row>
    <row r="140" spans="1:10" ht="15.95" customHeight="1" x14ac:dyDescent="0.2">
      <c r="A140" s="443"/>
      <c r="B140" s="462" t="s">
        <v>182</v>
      </c>
      <c r="C140" s="462"/>
      <c r="D140" s="462"/>
      <c r="E140" s="187"/>
      <c r="F140" s="468"/>
      <c r="G140" s="452"/>
      <c r="H140" s="183"/>
      <c r="I140" s="356"/>
    </row>
    <row r="141" spans="1:10" ht="15.95" customHeight="1" x14ac:dyDescent="0.2">
      <c r="A141" s="443"/>
      <c r="B141" s="462" t="s">
        <v>183</v>
      </c>
      <c r="C141" s="462"/>
      <c r="D141" s="184" t="s">
        <v>184</v>
      </c>
      <c r="E141" s="185">
        <v>0.05</v>
      </c>
      <c r="F141" s="468"/>
      <c r="G141" s="452"/>
      <c r="H141" s="188"/>
    </row>
    <row r="142" spans="1:10" ht="15.95" customHeight="1" x14ac:dyDescent="0.2">
      <c r="A142" s="372"/>
      <c r="B142" s="444" t="s">
        <v>86</v>
      </c>
      <c r="C142" s="444"/>
      <c r="D142" s="444"/>
      <c r="E142" s="444"/>
      <c r="F142" s="444"/>
      <c r="G142" s="76">
        <f>ROUND((G135+G136+G137),2)</f>
        <v>1313.81</v>
      </c>
      <c r="H142" s="186"/>
    </row>
    <row r="143" spans="1:10" ht="15.75" customHeight="1" x14ac:dyDescent="0.2">
      <c r="A143" s="440" t="s">
        <v>185</v>
      </c>
      <c r="B143" s="440"/>
      <c r="C143" s="440"/>
      <c r="D143" s="440"/>
      <c r="E143" s="440"/>
      <c r="F143" s="440"/>
      <c r="G143" s="440"/>
      <c r="H143" s="186"/>
      <c r="I143" s="366"/>
      <c r="J143" s="367">
        <f>H144*I143</f>
        <v>0</v>
      </c>
    </row>
    <row r="144" spans="1:10" ht="20.25" customHeight="1" x14ac:dyDescent="0.2">
      <c r="A144" s="440" t="s">
        <v>186</v>
      </c>
      <c r="B144" s="440"/>
      <c r="C144" s="440"/>
      <c r="D144" s="440"/>
      <c r="E144" s="440"/>
      <c r="F144" s="440"/>
      <c r="G144" s="440"/>
      <c r="H144" s="186"/>
      <c r="I144" s="356"/>
    </row>
    <row r="145" spans="1:8" ht="12.75" customHeight="1" x14ac:dyDescent="0.2">
      <c r="A145" s="189"/>
      <c r="B145" s="190"/>
      <c r="C145" s="190"/>
      <c r="D145" s="190"/>
      <c r="E145" s="191"/>
      <c r="F145" s="192"/>
      <c r="G145" s="193"/>
      <c r="H145" s="183"/>
    </row>
    <row r="146" spans="1:8" ht="15.95" customHeight="1" x14ac:dyDescent="0.2">
      <c r="A146" s="471" t="s">
        <v>187</v>
      </c>
      <c r="B146" s="471"/>
      <c r="C146" s="471"/>
      <c r="D146" s="471"/>
      <c r="E146" s="471"/>
      <c r="F146" s="471"/>
      <c r="G146" s="471"/>
    </row>
    <row r="147" spans="1:8" ht="15.95" customHeight="1" x14ac:dyDescent="0.2">
      <c r="A147" s="472" t="s">
        <v>188</v>
      </c>
      <c r="B147" s="472"/>
      <c r="C147" s="472"/>
      <c r="D147" s="472"/>
      <c r="E147" s="472"/>
      <c r="F147" s="472"/>
      <c r="G147" s="194" t="s">
        <v>169</v>
      </c>
      <c r="H147" s="183"/>
    </row>
    <row r="148" spans="1:8" ht="15.95" customHeight="1" x14ac:dyDescent="0.2">
      <c r="A148" s="375" t="s">
        <v>52</v>
      </c>
      <c r="B148" s="443" t="s">
        <v>170</v>
      </c>
      <c r="C148" s="443"/>
      <c r="D148" s="443"/>
      <c r="E148" s="443"/>
      <c r="F148" s="443"/>
      <c r="G148" s="176">
        <f>G126</f>
        <v>1880.0300000000002</v>
      </c>
    </row>
    <row r="149" spans="1:8" ht="15.95" customHeight="1" x14ac:dyDescent="0.2">
      <c r="A149" s="375" t="s">
        <v>56</v>
      </c>
      <c r="B149" s="443" t="s">
        <v>80</v>
      </c>
      <c r="C149" s="443"/>
      <c r="D149" s="443"/>
      <c r="E149" s="443"/>
      <c r="F149" s="443"/>
      <c r="G149" s="176">
        <f>G127</f>
        <v>1897.9499999999998</v>
      </c>
      <c r="H149" s="183"/>
    </row>
    <row r="150" spans="1:8" ht="15.95" customHeight="1" x14ac:dyDescent="0.2">
      <c r="A150" s="375" t="s">
        <v>58</v>
      </c>
      <c r="B150" s="443" t="s">
        <v>171</v>
      </c>
      <c r="C150" s="443"/>
      <c r="D150" s="443"/>
      <c r="E150" s="443"/>
      <c r="F150" s="443"/>
      <c r="G150" s="176">
        <f>G128</f>
        <v>136.04000000000002</v>
      </c>
      <c r="H150" s="183"/>
    </row>
    <row r="151" spans="1:8" ht="15.95" customHeight="1" x14ac:dyDescent="0.2">
      <c r="A151" s="375" t="s">
        <v>68</v>
      </c>
      <c r="B151" s="437" t="s">
        <v>139</v>
      </c>
      <c r="C151" s="437"/>
      <c r="D151" s="437"/>
      <c r="E151" s="437"/>
      <c r="F151" s="437"/>
      <c r="G151" s="176">
        <f>G129</f>
        <v>299.73120000000006</v>
      </c>
      <c r="H151" s="183"/>
    </row>
    <row r="152" spans="1:8" ht="15.95" customHeight="1" x14ac:dyDescent="0.2">
      <c r="A152" s="375"/>
      <c r="B152" s="443" t="s">
        <v>164</v>
      </c>
      <c r="C152" s="443"/>
      <c r="D152" s="443"/>
      <c r="E152" s="443"/>
      <c r="F152" s="443"/>
      <c r="G152" s="176">
        <f>G130</f>
        <v>503.89666666666665</v>
      </c>
      <c r="H152" s="195"/>
    </row>
    <row r="153" spans="1:8" ht="15.95" customHeight="1" x14ac:dyDescent="0.2">
      <c r="A153" s="375" t="s">
        <v>72</v>
      </c>
      <c r="B153" s="443" t="s">
        <v>189</v>
      </c>
      <c r="C153" s="443"/>
      <c r="D153" s="443"/>
      <c r="E153" s="443"/>
      <c r="F153" s="443"/>
      <c r="G153" s="176">
        <f>G142</f>
        <v>1313.81</v>
      </c>
      <c r="H153" s="183"/>
    </row>
    <row r="154" spans="1:8" ht="15.95" customHeight="1" x14ac:dyDescent="0.2">
      <c r="A154" s="196"/>
      <c r="B154" s="469" t="s">
        <v>190</v>
      </c>
      <c r="C154" s="469"/>
      <c r="D154" s="469"/>
      <c r="E154" s="469"/>
      <c r="F154" s="469"/>
      <c r="G154" s="197">
        <f>ROUND(SUM(G148:G153),2)</f>
        <v>6031.46</v>
      </c>
    </row>
    <row r="155" spans="1:8" x14ac:dyDescent="0.2">
      <c r="A155" s="470"/>
      <c r="B155" s="470"/>
      <c r="C155" s="470"/>
      <c r="D155" s="470"/>
      <c r="E155" s="470" t="e">
        <f>#REF!</f>
        <v>#REF!</v>
      </c>
      <c r="F155" s="470"/>
      <c r="G155" s="470"/>
    </row>
  </sheetData>
  <mergeCells count="134">
    <mergeCell ref="B8:G8"/>
    <mergeCell ref="F12:G12"/>
    <mergeCell ref="F14:G14"/>
    <mergeCell ref="A18:G18"/>
    <mergeCell ref="B19:F19"/>
    <mergeCell ref="B20:D20"/>
    <mergeCell ref="A1:G1"/>
    <mergeCell ref="C2:G2"/>
    <mergeCell ref="C3:D3"/>
    <mergeCell ref="F3:G3"/>
    <mergeCell ref="B5:D5"/>
    <mergeCell ref="B7:G7"/>
    <mergeCell ref="B29:F29"/>
    <mergeCell ref="B30:F30"/>
    <mergeCell ref="A31:G31"/>
    <mergeCell ref="A33:G33"/>
    <mergeCell ref="B35:E35"/>
    <mergeCell ref="B36:E36"/>
    <mergeCell ref="B21:E21"/>
    <mergeCell ref="A22:A25"/>
    <mergeCell ref="B22:E22"/>
    <mergeCell ref="G22:G24"/>
    <mergeCell ref="B27:F27"/>
    <mergeCell ref="B28:F28"/>
    <mergeCell ref="B45:E45"/>
    <mergeCell ref="B46:E46"/>
    <mergeCell ref="B47:E47"/>
    <mergeCell ref="B48:E48"/>
    <mergeCell ref="B49:E49"/>
    <mergeCell ref="B50:E50"/>
    <mergeCell ref="B38:E38"/>
    <mergeCell ref="B39:E39"/>
    <mergeCell ref="A40:G40"/>
    <mergeCell ref="A41:G41"/>
    <mergeCell ref="A42:G42"/>
    <mergeCell ref="B44:E44"/>
    <mergeCell ref="B60:F60"/>
    <mergeCell ref="B61:F61"/>
    <mergeCell ref="B62:F62"/>
    <mergeCell ref="B63:F63"/>
    <mergeCell ref="B64:F64"/>
    <mergeCell ref="B65:F65"/>
    <mergeCell ref="B52:E52"/>
    <mergeCell ref="B53:E53"/>
    <mergeCell ref="A54:G54"/>
    <mergeCell ref="A55:G55"/>
    <mergeCell ref="A56:G56"/>
    <mergeCell ref="B59:F59"/>
    <mergeCell ref="A78:A79"/>
    <mergeCell ref="B78:D78"/>
    <mergeCell ref="F78:F79"/>
    <mergeCell ref="G78:G79"/>
    <mergeCell ref="B79:C79"/>
    <mergeCell ref="B80:E80"/>
    <mergeCell ref="B66:F66"/>
    <mergeCell ref="A67:G67"/>
    <mergeCell ref="A68:G68"/>
    <mergeCell ref="B74:F74"/>
    <mergeCell ref="A76:G76"/>
    <mergeCell ref="B77:F77"/>
    <mergeCell ref="B81:E81"/>
    <mergeCell ref="A82:A83"/>
    <mergeCell ref="B82:E82"/>
    <mergeCell ref="F82:F83"/>
    <mergeCell ref="G82:G83"/>
    <mergeCell ref="A84:A85"/>
    <mergeCell ref="B84:D84"/>
    <mergeCell ref="F84:F85"/>
    <mergeCell ref="G84:G85"/>
    <mergeCell ref="B85:C85"/>
    <mergeCell ref="G94:G95"/>
    <mergeCell ref="B95:D95"/>
    <mergeCell ref="B96:C96"/>
    <mergeCell ref="F96:F97"/>
    <mergeCell ref="B97:D97"/>
    <mergeCell ref="B86:E86"/>
    <mergeCell ref="B87:E87"/>
    <mergeCell ref="B88:E88"/>
    <mergeCell ref="A90:G90"/>
    <mergeCell ref="B91:F91"/>
    <mergeCell ref="B92:F92"/>
    <mergeCell ref="B98:E98"/>
    <mergeCell ref="F98:F99"/>
    <mergeCell ref="B99:D99"/>
    <mergeCell ref="B100:C100"/>
    <mergeCell ref="F100:F101"/>
    <mergeCell ref="B101:D101"/>
    <mergeCell ref="B93:E93"/>
    <mergeCell ref="B94:E94"/>
    <mergeCell ref="F94:F95"/>
    <mergeCell ref="B105:E105"/>
    <mergeCell ref="A106:G106"/>
    <mergeCell ref="A107:G107"/>
    <mergeCell ref="A117:G117"/>
    <mergeCell ref="B118:F118"/>
    <mergeCell ref="B119:F119"/>
    <mergeCell ref="B102:C102"/>
    <mergeCell ref="B103:F103"/>
    <mergeCell ref="B104:E104"/>
    <mergeCell ref="B127:F127"/>
    <mergeCell ref="B128:F128"/>
    <mergeCell ref="B129:F129"/>
    <mergeCell ref="B130:F130"/>
    <mergeCell ref="B131:F131"/>
    <mergeCell ref="A133:G133"/>
    <mergeCell ref="B120:F120"/>
    <mergeCell ref="B121:F121"/>
    <mergeCell ref="B122:F122"/>
    <mergeCell ref="A123:G123"/>
    <mergeCell ref="A125:F125"/>
    <mergeCell ref="B126:F126"/>
    <mergeCell ref="G137:G141"/>
    <mergeCell ref="B138:C139"/>
    <mergeCell ref="B140:D140"/>
    <mergeCell ref="B141:C141"/>
    <mergeCell ref="B142:F142"/>
    <mergeCell ref="A143:G143"/>
    <mergeCell ref="B134:E134"/>
    <mergeCell ref="B135:E135"/>
    <mergeCell ref="B136:E136"/>
    <mergeCell ref="A137:A141"/>
    <mergeCell ref="B137:E137"/>
    <mergeCell ref="F137:F141"/>
    <mergeCell ref="B151:F151"/>
    <mergeCell ref="B152:F152"/>
    <mergeCell ref="B153:F153"/>
    <mergeCell ref="B154:F154"/>
    <mergeCell ref="A155:G155"/>
    <mergeCell ref="A144:G144"/>
    <mergeCell ref="A146:G146"/>
    <mergeCell ref="A147:F147"/>
    <mergeCell ref="B148:F148"/>
    <mergeCell ref="B149:F149"/>
    <mergeCell ref="B150:F150"/>
  </mergeCells>
  <pageMargins left="0.25" right="0.25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3"/>
  <sheetViews>
    <sheetView topLeftCell="A19" zoomScale="170" zoomScaleNormal="170" workbookViewId="0">
      <selection activeCell="I11" sqref="I11"/>
    </sheetView>
  </sheetViews>
  <sheetFormatPr defaultRowHeight="12.75" x14ac:dyDescent="0.2"/>
  <cols>
    <col min="1" max="1" width="8.7109375" customWidth="1"/>
    <col min="2" max="2" width="15.7109375" customWidth="1"/>
    <col min="3" max="3" width="13.28515625" customWidth="1"/>
    <col min="4" max="4" width="19.7109375" customWidth="1"/>
    <col min="5" max="5" width="15" customWidth="1"/>
    <col min="6" max="6" width="14.42578125" customWidth="1"/>
    <col min="7" max="7" width="19.140625" customWidth="1"/>
    <col min="8" max="8" width="9" customWidth="1"/>
    <col min="9" max="9" width="8.7109375" customWidth="1"/>
    <col min="10" max="10" width="12" customWidth="1"/>
    <col min="11" max="1025" width="8.7109375" customWidth="1"/>
  </cols>
  <sheetData>
    <row r="1" spans="1:7" ht="24.95" customHeight="1" x14ac:dyDescent="0.2">
      <c r="A1" s="473" t="s">
        <v>202</v>
      </c>
      <c r="B1" s="473"/>
      <c r="C1" s="473"/>
      <c r="D1" s="473"/>
      <c r="E1" s="473"/>
      <c r="F1" s="473"/>
      <c r="G1" s="473"/>
    </row>
    <row r="2" spans="1:7" ht="24.95" customHeight="1" x14ac:dyDescent="0.2">
      <c r="A2" s="474" t="s">
        <v>203</v>
      </c>
      <c r="B2" s="474"/>
      <c r="C2" s="474"/>
      <c r="D2" s="474"/>
      <c r="E2" s="474"/>
      <c r="F2" s="474"/>
      <c r="G2" s="474"/>
    </row>
    <row r="3" spans="1:7" ht="24.95" customHeight="1" x14ac:dyDescent="0.2">
      <c r="A3" s="198"/>
      <c r="B3" s="475" t="s">
        <v>204</v>
      </c>
      <c r="C3" s="475"/>
      <c r="D3" s="475"/>
      <c r="E3" s="476"/>
      <c r="F3" s="476"/>
      <c r="G3" s="476"/>
    </row>
    <row r="4" spans="1:7" ht="24.95" customHeight="1" x14ac:dyDescent="0.2">
      <c r="A4" s="198"/>
      <c r="B4" s="475" t="s">
        <v>205</v>
      </c>
      <c r="C4" s="475"/>
      <c r="D4" s="475"/>
      <c r="E4" s="198" t="e">
        <f>'[1]12x36_diurno - DRF'!E4</f>
        <v>#REF!</v>
      </c>
      <c r="F4" s="477" t="str">
        <f>'[1]12x36_diurno - DRF'!F4</f>
        <v>Data e Hora:</v>
      </c>
      <c r="G4" s="477"/>
    </row>
    <row r="5" spans="1:7" ht="24.95" customHeight="1" x14ac:dyDescent="0.2">
      <c r="B5" s="478" t="s">
        <v>206</v>
      </c>
      <c r="C5" s="478"/>
      <c r="D5" s="479"/>
      <c r="E5" s="479"/>
      <c r="F5" s="200" t="s">
        <v>207</v>
      </c>
      <c r="G5" s="201"/>
    </row>
    <row r="7" spans="1:7" ht="24.95" customHeight="1" x14ac:dyDescent="0.2">
      <c r="A7" s="473" t="s">
        <v>208</v>
      </c>
      <c r="B7" s="473"/>
      <c r="C7" s="473"/>
      <c r="D7" s="473"/>
      <c r="E7" s="473"/>
      <c r="F7" s="473"/>
      <c r="G7" s="473"/>
    </row>
    <row r="8" spans="1:7" ht="24.95" customHeight="1" x14ac:dyDescent="0.2">
      <c r="A8" s="202"/>
      <c r="B8" s="480" t="s">
        <v>302</v>
      </c>
      <c r="C8" s="480"/>
      <c r="D8" s="480"/>
      <c r="E8" s="480"/>
      <c r="F8" s="481">
        <f>'Oficial de Manutenção'!G20</f>
        <v>1886.97</v>
      </c>
      <c r="G8" s="481"/>
    </row>
    <row r="9" spans="1:7" ht="24.95" customHeight="1" x14ac:dyDescent="0.2">
      <c r="A9" s="203">
        <v>2</v>
      </c>
      <c r="B9" s="482" t="s">
        <v>209</v>
      </c>
      <c r="C9" s="482"/>
      <c r="D9" s="482"/>
      <c r="E9" s="482"/>
      <c r="F9" s="482"/>
      <c r="G9" s="204" t="s">
        <v>82</v>
      </c>
    </row>
    <row r="10" spans="1:7" ht="24.95" customHeight="1" x14ac:dyDescent="0.2">
      <c r="A10" s="483" t="s">
        <v>214</v>
      </c>
      <c r="B10" s="484" t="s">
        <v>301</v>
      </c>
      <c r="C10" s="484"/>
      <c r="D10" s="483" t="s">
        <v>210</v>
      </c>
      <c r="E10" s="483"/>
      <c r="F10" s="206"/>
      <c r="G10" s="485">
        <f>IF(F10*F11*C11&gt;F12,F10*F11*C11-F12,0)</f>
        <v>0</v>
      </c>
    </row>
    <row r="11" spans="1:7" ht="24.95" customHeight="1" x14ac:dyDescent="0.2">
      <c r="A11" s="483"/>
      <c r="B11" s="483" t="s">
        <v>211</v>
      </c>
      <c r="C11" s="483">
        <v>21.75</v>
      </c>
      <c r="D11" s="483" t="s">
        <v>212</v>
      </c>
      <c r="E11" s="483"/>
      <c r="F11" s="208"/>
      <c r="G11" s="486"/>
    </row>
    <row r="12" spans="1:7" ht="24.95" customHeight="1" x14ac:dyDescent="0.2">
      <c r="A12" s="483"/>
      <c r="B12" s="483"/>
      <c r="C12" s="483"/>
      <c r="D12" s="483" t="s">
        <v>213</v>
      </c>
      <c r="E12" s="483"/>
      <c r="F12" s="209">
        <f>ROUND(0.06*F8,2)</f>
        <v>113.22</v>
      </c>
      <c r="G12" s="487"/>
    </row>
    <row r="13" spans="1:7" ht="24.95" customHeight="1" x14ac:dyDescent="0.2">
      <c r="A13" s="483" t="s">
        <v>216</v>
      </c>
      <c r="B13" s="484" t="s">
        <v>217</v>
      </c>
      <c r="C13" s="484"/>
      <c r="D13" s="483" t="s">
        <v>218</v>
      </c>
      <c r="E13" s="483"/>
      <c r="F13" s="213">
        <v>1</v>
      </c>
      <c r="G13" s="488">
        <f>ROUND(F13*(F14-F15),2)</f>
        <v>306.61</v>
      </c>
    </row>
    <row r="14" spans="1:7" ht="24.95" customHeight="1" x14ac:dyDescent="0.2">
      <c r="A14" s="483"/>
      <c r="B14" s="484"/>
      <c r="C14" s="484"/>
      <c r="D14" s="483" t="s">
        <v>215</v>
      </c>
      <c r="E14" s="483"/>
      <c r="F14" s="210">
        <v>322.75</v>
      </c>
      <c r="G14" s="488"/>
    </row>
    <row r="15" spans="1:7" ht="24.95" customHeight="1" x14ac:dyDescent="0.2">
      <c r="A15" s="483"/>
      <c r="B15" s="484"/>
      <c r="C15" s="484"/>
      <c r="D15" s="205" t="s">
        <v>213</v>
      </c>
      <c r="E15" s="211">
        <v>0.05</v>
      </c>
      <c r="F15" s="212">
        <f>F14*E15</f>
        <v>16.137499999999999</v>
      </c>
      <c r="G15" s="488"/>
    </row>
    <row r="16" spans="1:7" ht="24.95" customHeight="1" x14ac:dyDescent="0.2">
      <c r="A16" s="483" t="s">
        <v>58</v>
      </c>
      <c r="B16" s="483" t="s">
        <v>108</v>
      </c>
      <c r="C16" s="483"/>
      <c r="D16" s="483" t="s">
        <v>219</v>
      </c>
      <c r="E16" s="483"/>
      <c r="F16" s="208">
        <v>322.75</v>
      </c>
      <c r="G16" s="488">
        <f>ROUND(F16-F17,2)</f>
        <v>322.75</v>
      </c>
    </row>
    <row r="17" spans="1:10" ht="24.95" customHeight="1" x14ac:dyDescent="0.2">
      <c r="A17" s="483"/>
      <c r="B17" s="483"/>
      <c r="C17" s="483"/>
      <c r="D17" s="214" t="s">
        <v>213</v>
      </c>
      <c r="E17" s="211"/>
      <c r="F17" s="215">
        <v>0</v>
      </c>
      <c r="G17" s="488"/>
    </row>
    <row r="18" spans="1:10" ht="24.95" customHeight="1" x14ac:dyDescent="0.2">
      <c r="A18" s="483" t="s">
        <v>68</v>
      </c>
      <c r="B18" s="489" t="s">
        <v>109</v>
      </c>
      <c r="C18" s="489"/>
      <c r="D18" s="484" t="s">
        <v>220</v>
      </c>
      <c r="E18" s="216" t="s">
        <v>221</v>
      </c>
      <c r="F18" s="217">
        <v>2.5</v>
      </c>
      <c r="G18" s="490">
        <f>ROUND(F18+F19,2)</f>
        <v>5</v>
      </c>
      <c r="H18" s="218"/>
    </row>
    <row r="19" spans="1:10" ht="24.95" customHeight="1" x14ac:dyDescent="0.2">
      <c r="A19" s="483"/>
      <c r="B19" s="483"/>
      <c r="C19" s="489"/>
      <c r="D19" s="484"/>
      <c r="E19" s="219" t="s">
        <v>222</v>
      </c>
      <c r="F19" s="217">
        <v>2.5</v>
      </c>
      <c r="G19" s="490"/>
      <c r="J19" s="220"/>
    </row>
    <row r="20" spans="1:10" ht="24.95" customHeight="1" x14ac:dyDescent="0.2">
      <c r="A20" s="205" t="s">
        <v>110</v>
      </c>
      <c r="B20" s="205" t="s">
        <v>223</v>
      </c>
      <c r="C20" s="221" t="s">
        <v>224</v>
      </c>
      <c r="D20" s="222"/>
      <c r="E20" s="223" t="s">
        <v>225</v>
      </c>
      <c r="F20" s="224">
        <v>9.5E-4</v>
      </c>
      <c r="G20" s="207">
        <f>ROUND(D20*F20/12,2)</f>
        <v>0</v>
      </c>
    </row>
    <row r="21" spans="1:10" ht="24.95" customHeight="1" x14ac:dyDescent="0.2">
      <c r="A21" s="483" t="s">
        <v>72</v>
      </c>
      <c r="B21" s="483" t="s">
        <v>113</v>
      </c>
      <c r="C21" s="483"/>
      <c r="D21" s="483" t="s">
        <v>226</v>
      </c>
      <c r="E21" s="483"/>
      <c r="F21" s="225"/>
      <c r="G21" s="488">
        <f>ROUND(F21*(1-F22),2)</f>
        <v>0</v>
      </c>
    </row>
    <row r="22" spans="1:10" ht="24.95" customHeight="1" x14ac:dyDescent="0.2">
      <c r="A22" s="483"/>
      <c r="B22" s="483"/>
      <c r="C22" s="483"/>
      <c r="D22" s="483" t="s">
        <v>213</v>
      </c>
      <c r="E22" s="483"/>
      <c r="F22" s="211"/>
      <c r="G22" s="488"/>
    </row>
    <row r="23" spans="1:10" x14ac:dyDescent="0.2">
      <c r="G23" s="220">
        <f>SUM(G10:G21)</f>
        <v>634.36</v>
      </c>
    </row>
  </sheetData>
  <mergeCells count="38">
    <mergeCell ref="A21:A22"/>
    <mergeCell ref="B21:C22"/>
    <mergeCell ref="D21:E21"/>
    <mergeCell ref="G21:G22"/>
    <mergeCell ref="D22:E22"/>
    <mergeCell ref="A16:A17"/>
    <mergeCell ref="B16:C17"/>
    <mergeCell ref="D16:E16"/>
    <mergeCell ref="G16:G17"/>
    <mergeCell ref="A18:A19"/>
    <mergeCell ref="B18:C19"/>
    <mergeCell ref="D18:D19"/>
    <mergeCell ref="G18:G19"/>
    <mergeCell ref="A13:A15"/>
    <mergeCell ref="B13:C15"/>
    <mergeCell ref="D13:E13"/>
    <mergeCell ref="G13:G15"/>
    <mergeCell ref="D14:E14"/>
    <mergeCell ref="B9:F9"/>
    <mergeCell ref="A10:A12"/>
    <mergeCell ref="B10:C10"/>
    <mergeCell ref="D10:E10"/>
    <mergeCell ref="G10:G12"/>
    <mergeCell ref="B11:B12"/>
    <mergeCell ref="C11:C12"/>
    <mergeCell ref="D11:E11"/>
    <mergeCell ref="D12:E12"/>
    <mergeCell ref="B5:C5"/>
    <mergeCell ref="D5:E5"/>
    <mergeCell ref="A7:G7"/>
    <mergeCell ref="B8:E8"/>
    <mergeCell ref="F8:G8"/>
    <mergeCell ref="A1:G1"/>
    <mergeCell ref="A2:G2"/>
    <mergeCell ref="B3:D3"/>
    <mergeCell ref="E3:G3"/>
    <mergeCell ref="B4:D4"/>
    <mergeCell ref="F4:G4"/>
  </mergeCells>
  <pageMargins left="0.51180555555555496" right="0.51180555555555496" top="0.78749999999999998" bottom="0.78749999999999998" header="0.51180555555555496" footer="0.51180555555555496"/>
  <pageSetup paperSize="9" scale="88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3"/>
  <sheetViews>
    <sheetView workbookViewId="0">
      <selection activeCell="G23" sqref="A1:G23"/>
    </sheetView>
  </sheetViews>
  <sheetFormatPr defaultRowHeight="12.75" x14ac:dyDescent="0.2"/>
  <cols>
    <col min="1" max="1" width="8.7109375" customWidth="1"/>
    <col min="2" max="2" width="15.7109375" customWidth="1"/>
    <col min="3" max="3" width="13.28515625" customWidth="1"/>
    <col min="4" max="4" width="19.7109375" customWidth="1"/>
    <col min="5" max="5" width="15" customWidth="1"/>
    <col min="6" max="6" width="14.42578125" customWidth="1"/>
    <col min="7" max="7" width="19.140625" customWidth="1"/>
    <col min="8" max="8" width="9" customWidth="1"/>
    <col min="9" max="9" width="8.7109375" customWidth="1"/>
    <col min="10" max="10" width="12" customWidth="1"/>
    <col min="11" max="1025" width="8.7109375" customWidth="1"/>
  </cols>
  <sheetData>
    <row r="1" spans="1:7" ht="24.95" customHeight="1" x14ac:dyDescent="0.2">
      <c r="A1" s="473" t="s">
        <v>202</v>
      </c>
      <c r="B1" s="473"/>
      <c r="C1" s="473"/>
      <c r="D1" s="473"/>
      <c r="E1" s="473"/>
      <c r="F1" s="473"/>
      <c r="G1" s="473"/>
    </row>
    <row r="2" spans="1:7" ht="24.95" customHeight="1" x14ac:dyDescent="0.2">
      <c r="A2" s="474" t="s">
        <v>203</v>
      </c>
      <c r="B2" s="474"/>
      <c r="C2" s="474"/>
      <c r="D2" s="474"/>
      <c r="E2" s="474"/>
      <c r="F2" s="474"/>
      <c r="G2" s="474"/>
    </row>
    <row r="3" spans="1:7" ht="24.95" customHeight="1" x14ac:dyDescent="0.2">
      <c r="A3" s="198"/>
      <c r="B3" s="475" t="s">
        <v>204</v>
      </c>
      <c r="C3" s="475"/>
      <c r="D3" s="475"/>
      <c r="E3" s="476"/>
      <c r="F3" s="476"/>
      <c r="G3" s="476"/>
    </row>
    <row r="4" spans="1:7" ht="24.95" customHeight="1" x14ac:dyDescent="0.2">
      <c r="A4" s="198"/>
      <c r="B4" s="475" t="s">
        <v>205</v>
      </c>
      <c r="C4" s="475"/>
      <c r="D4" s="475"/>
      <c r="E4" s="198"/>
      <c r="F4" s="477" t="str">
        <f>'[1]12x36_diurno - DRF'!F4</f>
        <v>Data e Hora:</v>
      </c>
      <c r="G4" s="477"/>
    </row>
    <row r="5" spans="1:7" ht="24.95" customHeight="1" x14ac:dyDescent="0.2">
      <c r="B5" s="478" t="s">
        <v>206</v>
      </c>
      <c r="C5" s="478"/>
      <c r="D5" s="479"/>
      <c r="E5" s="479"/>
      <c r="F5" s="200" t="s">
        <v>207</v>
      </c>
      <c r="G5" s="201"/>
    </row>
    <row r="7" spans="1:7" ht="24.95" customHeight="1" x14ac:dyDescent="0.2">
      <c r="A7" s="473" t="s">
        <v>208</v>
      </c>
      <c r="B7" s="473"/>
      <c r="C7" s="473"/>
      <c r="D7" s="473"/>
      <c r="E7" s="473"/>
      <c r="F7" s="473"/>
      <c r="G7" s="473"/>
    </row>
    <row r="8" spans="1:7" ht="24.95" customHeight="1" x14ac:dyDescent="0.2">
      <c r="A8" s="387"/>
      <c r="B8" s="480" t="s">
        <v>302</v>
      </c>
      <c r="C8" s="480"/>
      <c r="D8" s="480"/>
      <c r="E8" s="480"/>
      <c r="F8" s="481">
        <f>'Oficial de Manutenção'!G20</f>
        <v>1886.97</v>
      </c>
      <c r="G8" s="481"/>
    </row>
    <row r="9" spans="1:7" ht="24.95" customHeight="1" x14ac:dyDescent="0.2">
      <c r="A9" s="388">
        <v>2</v>
      </c>
      <c r="B9" s="482" t="s">
        <v>209</v>
      </c>
      <c r="C9" s="482"/>
      <c r="D9" s="482"/>
      <c r="E9" s="482"/>
      <c r="F9" s="482"/>
      <c r="G9" s="204" t="s">
        <v>82</v>
      </c>
    </row>
    <row r="10" spans="1:7" ht="24.95" customHeight="1" x14ac:dyDescent="0.2">
      <c r="A10" s="483" t="s">
        <v>214</v>
      </c>
      <c r="B10" s="484" t="s">
        <v>301</v>
      </c>
      <c r="C10" s="484"/>
      <c r="D10" s="483" t="s">
        <v>210</v>
      </c>
      <c r="E10" s="483"/>
      <c r="F10" s="206"/>
      <c r="G10" s="485">
        <f>IF(F10*F11*C11&gt;F12,F10*F11*C11-F12,0)</f>
        <v>0</v>
      </c>
    </row>
    <row r="11" spans="1:7" ht="24.95" customHeight="1" x14ac:dyDescent="0.2">
      <c r="A11" s="483"/>
      <c r="B11" s="483" t="s">
        <v>211</v>
      </c>
      <c r="C11" s="483">
        <v>21.75</v>
      </c>
      <c r="D11" s="483" t="s">
        <v>212</v>
      </c>
      <c r="E11" s="483"/>
      <c r="F11" s="208"/>
      <c r="G11" s="486"/>
    </row>
    <row r="12" spans="1:7" ht="24.95" customHeight="1" x14ac:dyDescent="0.2">
      <c r="A12" s="483"/>
      <c r="B12" s="483"/>
      <c r="C12" s="483"/>
      <c r="D12" s="483" t="s">
        <v>213</v>
      </c>
      <c r="E12" s="483"/>
      <c r="F12" s="209">
        <f>ROUND(0.06*F8,2)</f>
        <v>113.22</v>
      </c>
      <c r="G12" s="487"/>
    </row>
    <row r="13" spans="1:7" ht="24.95" customHeight="1" x14ac:dyDescent="0.2">
      <c r="A13" s="483" t="s">
        <v>216</v>
      </c>
      <c r="B13" s="484" t="s">
        <v>217</v>
      </c>
      <c r="C13" s="484"/>
      <c r="D13" s="483" t="s">
        <v>218</v>
      </c>
      <c r="E13" s="483"/>
      <c r="F13" s="213">
        <v>22</v>
      </c>
      <c r="G13" s="488">
        <f>ROUND(F13*(F14-F15),2)</f>
        <v>443.52</v>
      </c>
    </row>
    <row r="14" spans="1:7" ht="24.95" customHeight="1" x14ac:dyDescent="0.2">
      <c r="A14" s="483"/>
      <c r="B14" s="484"/>
      <c r="C14" s="484"/>
      <c r="D14" s="483" t="s">
        <v>215</v>
      </c>
      <c r="E14" s="483"/>
      <c r="F14" s="210">
        <v>20.16</v>
      </c>
      <c r="G14" s="488"/>
    </row>
    <row r="15" spans="1:7" ht="24.95" customHeight="1" x14ac:dyDescent="0.2">
      <c r="A15" s="483"/>
      <c r="B15" s="484"/>
      <c r="C15" s="484"/>
      <c r="D15" s="389" t="s">
        <v>213</v>
      </c>
      <c r="E15" s="211">
        <v>0</v>
      </c>
      <c r="F15" s="212">
        <f>F14*E15</f>
        <v>0</v>
      </c>
      <c r="G15" s="488"/>
    </row>
    <row r="16" spans="1:7" ht="24.95" customHeight="1" x14ac:dyDescent="0.2">
      <c r="A16" s="483" t="s">
        <v>58</v>
      </c>
      <c r="B16" s="483" t="s">
        <v>108</v>
      </c>
      <c r="C16" s="483"/>
      <c r="D16" s="483" t="s">
        <v>219</v>
      </c>
      <c r="E16" s="483"/>
      <c r="F16" s="208">
        <v>0</v>
      </c>
      <c r="G16" s="488">
        <f>ROUND(F16-F17,2)</f>
        <v>0</v>
      </c>
    </row>
    <row r="17" spans="1:10" ht="24.95" customHeight="1" x14ac:dyDescent="0.2">
      <c r="A17" s="483"/>
      <c r="B17" s="483"/>
      <c r="C17" s="483"/>
      <c r="D17" s="214" t="s">
        <v>213</v>
      </c>
      <c r="E17" s="211"/>
      <c r="F17" s="215">
        <v>0</v>
      </c>
      <c r="G17" s="488"/>
    </row>
    <row r="18" spans="1:10" ht="24.95" customHeight="1" x14ac:dyDescent="0.2">
      <c r="A18" s="483" t="s">
        <v>68</v>
      </c>
      <c r="B18" s="489" t="s">
        <v>109</v>
      </c>
      <c r="C18" s="489"/>
      <c r="D18" s="484" t="s">
        <v>220</v>
      </c>
      <c r="E18" s="216" t="s">
        <v>221</v>
      </c>
      <c r="F18" s="217">
        <v>0</v>
      </c>
      <c r="G18" s="490">
        <f>ROUND(F18+F19,2)</f>
        <v>0</v>
      </c>
      <c r="H18" s="218"/>
    </row>
    <row r="19" spans="1:10" ht="24.95" customHeight="1" x14ac:dyDescent="0.2">
      <c r="A19" s="483"/>
      <c r="B19" s="483"/>
      <c r="C19" s="489"/>
      <c r="D19" s="484"/>
      <c r="E19" s="219" t="s">
        <v>222</v>
      </c>
      <c r="F19" s="217">
        <v>0</v>
      </c>
      <c r="G19" s="490"/>
      <c r="J19" s="220"/>
    </row>
    <row r="20" spans="1:10" ht="24.95" customHeight="1" x14ac:dyDescent="0.2">
      <c r="A20" s="389" t="s">
        <v>110</v>
      </c>
      <c r="B20" s="389" t="s">
        <v>223</v>
      </c>
      <c r="C20" s="221" t="s">
        <v>224</v>
      </c>
      <c r="D20" s="222"/>
      <c r="E20" s="223" t="s">
        <v>225</v>
      </c>
      <c r="F20" s="224">
        <v>9.5E-4</v>
      </c>
      <c r="G20" s="390">
        <f>ROUND(D20*F20/12,2)</f>
        <v>0</v>
      </c>
    </row>
    <row r="21" spans="1:10" ht="24.95" customHeight="1" x14ac:dyDescent="0.2">
      <c r="A21" s="483" t="s">
        <v>72</v>
      </c>
      <c r="B21" s="483" t="s">
        <v>113</v>
      </c>
      <c r="C21" s="483"/>
      <c r="D21" s="483" t="s">
        <v>226</v>
      </c>
      <c r="E21" s="483"/>
      <c r="F21" s="225"/>
      <c r="G21" s="488">
        <f>ROUND(F21*(1-F22),2)</f>
        <v>0</v>
      </c>
    </row>
    <row r="22" spans="1:10" ht="24.95" customHeight="1" x14ac:dyDescent="0.2">
      <c r="A22" s="483"/>
      <c r="B22" s="483"/>
      <c r="C22" s="483"/>
      <c r="D22" s="483" t="s">
        <v>213</v>
      </c>
      <c r="E22" s="483"/>
      <c r="F22" s="211"/>
      <c r="G22" s="488"/>
    </row>
    <row r="23" spans="1:10" x14ac:dyDescent="0.2">
      <c r="G23" s="220">
        <f>SUM(G10:G21)</f>
        <v>443.52</v>
      </c>
    </row>
  </sheetData>
  <mergeCells count="38">
    <mergeCell ref="B9:F9"/>
    <mergeCell ref="A1:G1"/>
    <mergeCell ref="A2:G2"/>
    <mergeCell ref="B3:D3"/>
    <mergeCell ref="E3:G3"/>
    <mergeCell ref="B4:D4"/>
    <mergeCell ref="F4:G4"/>
    <mergeCell ref="B5:C5"/>
    <mergeCell ref="D5:E5"/>
    <mergeCell ref="A7:G7"/>
    <mergeCell ref="B8:E8"/>
    <mergeCell ref="F8:G8"/>
    <mergeCell ref="A10:A12"/>
    <mergeCell ref="B10:C10"/>
    <mergeCell ref="D10:E10"/>
    <mergeCell ref="G10:G12"/>
    <mergeCell ref="B11:B12"/>
    <mergeCell ref="C11:C12"/>
    <mergeCell ref="D11:E11"/>
    <mergeCell ref="D12:E12"/>
    <mergeCell ref="D14:E14"/>
    <mergeCell ref="A18:A19"/>
    <mergeCell ref="B18:C19"/>
    <mergeCell ref="D18:D19"/>
    <mergeCell ref="G18:G19"/>
    <mergeCell ref="A16:A17"/>
    <mergeCell ref="B16:C17"/>
    <mergeCell ref="D16:E16"/>
    <mergeCell ref="G16:G17"/>
    <mergeCell ref="A13:A15"/>
    <mergeCell ref="B13:C15"/>
    <mergeCell ref="D13:E13"/>
    <mergeCell ref="G13:G15"/>
    <mergeCell ref="A21:A22"/>
    <mergeCell ref="B21:C22"/>
    <mergeCell ref="D21:E21"/>
    <mergeCell ref="G21:G22"/>
    <mergeCell ref="D22:E22"/>
  </mergeCells>
  <pageMargins left="0.511811024" right="0.511811024" top="0.78740157499999996" bottom="0.78740157499999996" header="0.31496062000000002" footer="0.31496062000000002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7"/>
  <sheetViews>
    <sheetView topLeftCell="A7" zoomScale="80" zoomScaleNormal="80" workbookViewId="0">
      <selection activeCell="J45" sqref="J45"/>
    </sheetView>
  </sheetViews>
  <sheetFormatPr defaultRowHeight="12.75" x14ac:dyDescent="0.2"/>
  <cols>
    <col min="1" max="1" width="7.28515625" customWidth="1"/>
    <col min="2" max="2" width="36.5703125" customWidth="1"/>
    <col min="3" max="3" width="21.5703125" customWidth="1"/>
    <col min="4" max="4" width="15.85546875" customWidth="1"/>
    <col min="5" max="7" width="21.140625" customWidth="1"/>
    <col min="8" max="8" width="22.7109375" customWidth="1"/>
    <col min="9" max="9" width="17.28515625" customWidth="1"/>
    <col min="10" max="1026" width="8.7109375" customWidth="1"/>
  </cols>
  <sheetData>
    <row r="1" spans="1:7" ht="18" x14ac:dyDescent="0.2">
      <c r="A1" s="473" t="s">
        <v>202</v>
      </c>
      <c r="B1" s="473"/>
      <c r="C1" s="473"/>
      <c r="D1" s="473"/>
      <c r="E1" s="473"/>
      <c r="F1" s="473"/>
      <c r="G1" s="473"/>
    </row>
    <row r="2" spans="1:7" ht="14.25" x14ac:dyDescent="0.2">
      <c r="A2" s="474" t="s">
        <v>203</v>
      </c>
      <c r="B2" s="474"/>
      <c r="C2" s="474"/>
      <c r="D2" s="474"/>
      <c r="E2" s="474"/>
      <c r="F2" s="474"/>
      <c r="G2" s="474"/>
    </row>
    <row r="3" spans="1:7" x14ac:dyDescent="0.2">
      <c r="B3" s="475" t="s">
        <v>204</v>
      </c>
      <c r="C3" s="475"/>
      <c r="D3" s="475"/>
      <c r="E3" s="476"/>
      <c r="F3" s="476"/>
      <c r="G3" s="476"/>
    </row>
    <row r="4" spans="1:7" x14ac:dyDescent="0.2">
      <c r="B4" s="475" t="s">
        <v>205</v>
      </c>
      <c r="C4" s="475"/>
      <c r="D4" s="475"/>
      <c r="E4" s="198" t="e">
        <f>'[1]12x36_diurno - DRF'!E4</f>
        <v>#REF!</v>
      </c>
      <c r="F4" s="198"/>
      <c r="G4" s="198" t="str">
        <f>'[1]12x36_diurno - DRF'!F4</f>
        <v>Data e Hora:</v>
      </c>
    </row>
    <row r="5" spans="1:7" x14ac:dyDescent="0.2">
      <c r="B5" s="199" t="s">
        <v>206</v>
      </c>
      <c r="C5" s="492" t="e">
        <f>'[1]12x36_diurno - DRF'!C5:D5</f>
        <v>#REF!</v>
      </c>
      <c r="D5" s="492"/>
      <c r="E5" s="199" t="s">
        <v>207</v>
      </c>
      <c r="F5" s="357"/>
      <c r="G5" s="198" t="e">
        <f>'[1]12x36_diurno - DRF'!F5</f>
        <v>#REF!</v>
      </c>
    </row>
    <row r="7" spans="1:7" x14ac:dyDescent="0.2">
      <c r="A7" s="493" t="s">
        <v>227</v>
      </c>
      <c r="B7" s="493"/>
      <c r="C7" s="493"/>
      <c r="D7" s="493"/>
      <c r="E7" s="493"/>
      <c r="F7" s="493"/>
      <c r="G7" s="493"/>
    </row>
    <row r="9" spans="1:7" x14ac:dyDescent="0.2">
      <c r="A9" s="494" t="s">
        <v>228</v>
      </c>
      <c r="B9" s="494"/>
      <c r="C9" s="494"/>
      <c r="D9" s="494"/>
      <c r="E9" s="494"/>
      <c r="F9" s="494"/>
      <c r="G9" s="494"/>
    </row>
    <row r="10" spans="1:7" x14ac:dyDescent="0.2">
      <c r="A10" s="226" t="s">
        <v>229</v>
      </c>
      <c r="B10" s="226" t="s">
        <v>230</v>
      </c>
      <c r="C10" s="226" t="s">
        <v>231</v>
      </c>
      <c r="D10" s="226" t="s">
        <v>232</v>
      </c>
      <c r="E10" s="226" t="s">
        <v>233</v>
      </c>
      <c r="F10" s="226"/>
      <c r="G10" s="226" t="s">
        <v>234</v>
      </c>
    </row>
    <row r="11" spans="1:7" ht="30" x14ac:dyDescent="0.2">
      <c r="A11" s="227">
        <v>1</v>
      </c>
      <c r="B11" s="409" t="s">
        <v>312</v>
      </c>
      <c r="C11" s="411">
        <v>41.76</v>
      </c>
      <c r="D11" s="412" t="s">
        <v>317</v>
      </c>
      <c r="E11" s="413">
        <v>4</v>
      </c>
      <c r="F11" s="229"/>
      <c r="G11" s="230">
        <f>C11*E11/12</f>
        <v>13.92</v>
      </c>
    </row>
    <row r="12" spans="1:7" ht="30" x14ac:dyDescent="0.2">
      <c r="A12" s="227">
        <v>2</v>
      </c>
      <c r="B12" s="409" t="s">
        <v>313</v>
      </c>
      <c r="C12" s="411">
        <v>34.74</v>
      </c>
      <c r="D12" s="412" t="s">
        <v>317</v>
      </c>
      <c r="E12" s="414">
        <v>4</v>
      </c>
      <c r="F12" s="229"/>
      <c r="G12" s="230">
        <f t="shared" ref="G12:G22" si="0">C12*E12/12</f>
        <v>11.58</v>
      </c>
    </row>
    <row r="13" spans="1:7" ht="45" x14ac:dyDescent="0.2">
      <c r="A13" s="227">
        <v>3</v>
      </c>
      <c r="B13" s="409" t="s">
        <v>314</v>
      </c>
      <c r="C13" s="411">
        <v>41.48</v>
      </c>
      <c r="D13" s="412" t="s">
        <v>317</v>
      </c>
      <c r="E13" s="414">
        <v>4</v>
      </c>
      <c r="F13" s="229"/>
      <c r="G13" s="230">
        <f t="shared" si="0"/>
        <v>13.826666666666666</v>
      </c>
    </row>
    <row r="14" spans="1:7" ht="30" x14ac:dyDescent="0.2">
      <c r="A14" s="227">
        <v>4</v>
      </c>
      <c r="B14" s="409" t="s">
        <v>315</v>
      </c>
      <c r="C14" s="411">
        <v>37.03</v>
      </c>
      <c r="D14" s="412" t="s">
        <v>318</v>
      </c>
      <c r="E14" s="414">
        <v>4</v>
      </c>
      <c r="F14" s="229"/>
      <c r="G14" s="230">
        <f t="shared" si="0"/>
        <v>12.343333333333334</v>
      </c>
    </row>
    <row r="15" spans="1:7" ht="30" x14ac:dyDescent="0.2">
      <c r="A15" s="227">
        <v>5</v>
      </c>
      <c r="B15" s="409" t="s">
        <v>316</v>
      </c>
      <c r="C15" s="411">
        <v>8.15</v>
      </c>
      <c r="D15" s="412" t="s">
        <v>319</v>
      </c>
      <c r="E15" s="414">
        <v>8</v>
      </c>
      <c r="F15" s="229"/>
      <c r="G15" s="230">
        <f t="shared" si="0"/>
        <v>5.4333333333333336</v>
      </c>
    </row>
    <row r="16" spans="1:7" hidden="1" x14ac:dyDescent="0.2">
      <c r="A16" s="227">
        <v>6</v>
      </c>
      <c r="B16" s="227"/>
      <c r="C16" s="228"/>
      <c r="D16" s="229"/>
      <c r="E16" s="229"/>
      <c r="F16" s="229"/>
      <c r="G16" s="230">
        <f t="shared" si="0"/>
        <v>0</v>
      </c>
    </row>
    <row r="17" spans="1:7" hidden="1" x14ac:dyDescent="0.2">
      <c r="A17" s="227">
        <v>7</v>
      </c>
      <c r="B17" s="231"/>
      <c r="C17" s="228"/>
      <c r="D17" s="229"/>
      <c r="E17" s="229"/>
      <c r="F17" s="229"/>
      <c r="G17" s="230">
        <f t="shared" si="0"/>
        <v>0</v>
      </c>
    </row>
    <row r="18" spans="1:7" hidden="1" x14ac:dyDescent="0.2">
      <c r="A18" s="227">
        <v>8</v>
      </c>
      <c r="B18" s="227"/>
      <c r="C18" s="228"/>
      <c r="D18" s="229"/>
      <c r="E18" s="229"/>
      <c r="F18" s="229"/>
      <c r="G18" s="230">
        <f t="shared" si="0"/>
        <v>0</v>
      </c>
    </row>
    <row r="19" spans="1:7" hidden="1" x14ac:dyDescent="0.2">
      <c r="A19" s="227">
        <v>9</v>
      </c>
      <c r="B19" s="227"/>
      <c r="C19" s="228"/>
      <c r="D19" s="229"/>
      <c r="E19" s="229"/>
      <c r="F19" s="229"/>
      <c r="G19" s="230">
        <f t="shared" si="0"/>
        <v>0</v>
      </c>
    </row>
    <row r="20" spans="1:7" hidden="1" x14ac:dyDescent="0.2">
      <c r="A20" s="227">
        <v>10</v>
      </c>
      <c r="B20" s="232"/>
      <c r="C20" s="228"/>
      <c r="D20" s="229"/>
      <c r="E20" s="229"/>
      <c r="F20" s="229"/>
      <c r="G20" s="230">
        <f t="shared" si="0"/>
        <v>0</v>
      </c>
    </row>
    <row r="21" spans="1:7" hidden="1" x14ac:dyDescent="0.2">
      <c r="A21" s="227">
        <v>11</v>
      </c>
      <c r="B21" s="231"/>
      <c r="C21" s="233"/>
      <c r="D21" s="234"/>
      <c r="E21" s="234"/>
      <c r="F21" s="234"/>
      <c r="G21" s="230">
        <f t="shared" si="0"/>
        <v>0</v>
      </c>
    </row>
    <row r="22" spans="1:7" x14ac:dyDescent="0.2">
      <c r="A22" s="227">
        <v>6</v>
      </c>
      <c r="B22" s="410" t="s">
        <v>235</v>
      </c>
      <c r="C22" s="228"/>
      <c r="D22" s="229"/>
      <c r="E22" s="229"/>
      <c r="F22" s="229"/>
      <c r="G22" s="230">
        <f t="shared" si="0"/>
        <v>0</v>
      </c>
    </row>
    <row r="23" spans="1:7" x14ac:dyDescent="0.2">
      <c r="B23" s="235"/>
      <c r="C23" s="235"/>
      <c r="D23" s="495" t="s">
        <v>236</v>
      </c>
      <c r="E23" s="495"/>
      <c r="F23" s="358"/>
      <c r="G23" s="230">
        <f>SUM(G11:G22)</f>
        <v>57.103333333333339</v>
      </c>
    </row>
    <row r="24" spans="1:7" x14ac:dyDescent="0.2">
      <c r="B24" s="235"/>
      <c r="C24" s="235"/>
      <c r="D24" s="236"/>
      <c r="E24" s="236"/>
      <c r="F24" s="236"/>
      <c r="G24" s="237"/>
    </row>
    <row r="25" spans="1:7" x14ac:dyDescent="0.2">
      <c r="A25" s="494" t="s">
        <v>237</v>
      </c>
      <c r="B25" s="494"/>
      <c r="C25" s="494"/>
      <c r="D25" s="494"/>
      <c r="E25" s="494"/>
      <c r="F25" s="494"/>
      <c r="G25" s="494"/>
    </row>
    <row r="26" spans="1:7" x14ac:dyDescent="0.2">
      <c r="A26" s="397" t="s">
        <v>229</v>
      </c>
      <c r="B26" s="397" t="s">
        <v>230</v>
      </c>
      <c r="C26" s="398" t="s">
        <v>310</v>
      </c>
      <c r="D26" s="397" t="s">
        <v>311</v>
      </c>
      <c r="E26" s="397" t="s">
        <v>233</v>
      </c>
      <c r="F26" s="397" t="s">
        <v>299</v>
      </c>
      <c r="G26" s="397" t="s">
        <v>234</v>
      </c>
    </row>
    <row r="27" spans="1:7" ht="25.5" x14ac:dyDescent="0.2">
      <c r="A27" s="399">
        <v>1</v>
      </c>
      <c r="B27" s="396" t="s">
        <v>303</v>
      </c>
      <c r="C27" s="394">
        <v>10.28</v>
      </c>
      <c r="D27" s="395">
        <v>1</v>
      </c>
      <c r="E27" s="400">
        <v>1</v>
      </c>
      <c r="F27" s="401">
        <v>0</v>
      </c>
      <c r="G27" s="402">
        <f>D27*C27</f>
        <v>10.28</v>
      </c>
    </row>
    <row r="28" spans="1:7" ht="38.25" x14ac:dyDescent="0.2">
      <c r="A28" s="399">
        <v>2</v>
      </c>
      <c r="B28" s="396" t="s">
        <v>304</v>
      </c>
      <c r="C28" s="394">
        <v>66</v>
      </c>
      <c r="D28" s="395">
        <f>1/6</f>
        <v>0.16666666666666666</v>
      </c>
      <c r="E28" s="400">
        <v>1</v>
      </c>
      <c r="F28" s="401">
        <v>0</v>
      </c>
      <c r="G28" s="402">
        <f t="shared" ref="G28:G36" si="1">D28*C28</f>
        <v>11</v>
      </c>
    </row>
    <row r="29" spans="1:7" ht="38.25" x14ac:dyDescent="0.2">
      <c r="A29" s="399">
        <v>3</v>
      </c>
      <c r="B29" s="396" t="s">
        <v>305</v>
      </c>
      <c r="C29" s="394">
        <v>17.87</v>
      </c>
      <c r="D29" s="395">
        <f>1/12</f>
        <v>8.3333333333333329E-2</v>
      </c>
      <c r="E29" s="400">
        <v>1</v>
      </c>
      <c r="F29" s="401">
        <v>0</v>
      </c>
      <c r="G29" s="402">
        <f t="shared" si="1"/>
        <v>1.4891666666666667</v>
      </c>
    </row>
    <row r="30" spans="1:7" ht="51" x14ac:dyDescent="0.2">
      <c r="A30" s="399">
        <v>4</v>
      </c>
      <c r="B30" s="396" t="s">
        <v>306</v>
      </c>
      <c r="C30" s="394">
        <v>10.63</v>
      </c>
      <c r="D30" s="395">
        <f>1/12</f>
        <v>8.3333333333333329E-2</v>
      </c>
      <c r="E30" s="400">
        <v>1</v>
      </c>
      <c r="F30" s="401">
        <v>0</v>
      </c>
      <c r="G30" s="402">
        <f t="shared" si="1"/>
        <v>0.88583333333333336</v>
      </c>
    </row>
    <row r="31" spans="1:7" ht="38.25" x14ac:dyDescent="0.2">
      <c r="A31" s="399">
        <v>5</v>
      </c>
      <c r="B31" s="396" t="s">
        <v>307</v>
      </c>
      <c r="C31" s="394">
        <v>2.06</v>
      </c>
      <c r="D31" s="395">
        <v>1</v>
      </c>
      <c r="E31" s="400">
        <v>1</v>
      </c>
      <c r="F31" s="401">
        <v>0</v>
      </c>
      <c r="G31" s="402">
        <f t="shared" si="1"/>
        <v>2.06</v>
      </c>
    </row>
    <row r="32" spans="1:7" ht="51" x14ac:dyDescent="0.2">
      <c r="A32" s="399">
        <v>6</v>
      </c>
      <c r="B32" s="396" t="s">
        <v>308</v>
      </c>
      <c r="C32" s="394">
        <v>66</v>
      </c>
      <c r="D32" s="395">
        <f>1/12</f>
        <v>8.3333333333333329E-2</v>
      </c>
      <c r="E32" s="400">
        <v>1</v>
      </c>
      <c r="F32" s="401">
        <v>0</v>
      </c>
      <c r="G32" s="402">
        <f t="shared" si="1"/>
        <v>5.5</v>
      </c>
    </row>
    <row r="33" spans="1:7" ht="15" x14ac:dyDescent="0.2">
      <c r="A33" s="399">
        <v>7</v>
      </c>
      <c r="B33" s="396" t="s">
        <v>326</v>
      </c>
      <c r="C33" s="394">
        <v>8.6999999999999993</v>
      </c>
      <c r="D33" s="395">
        <f t="shared" ref="D33:D34" si="2">1/12</f>
        <v>8.3333333333333329E-2</v>
      </c>
      <c r="E33" s="400">
        <v>1</v>
      </c>
      <c r="F33" s="401">
        <v>0</v>
      </c>
      <c r="G33" s="402">
        <f t="shared" si="1"/>
        <v>0.72499999999999987</v>
      </c>
    </row>
    <row r="34" spans="1:7" ht="15" x14ac:dyDescent="0.2">
      <c r="A34" s="399">
        <v>8</v>
      </c>
      <c r="B34" s="396" t="s">
        <v>327</v>
      </c>
      <c r="C34" s="394">
        <v>26.3</v>
      </c>
      <c r="D34" s="395">
        <f t="shared" si="2"/>
        <v>8.3333333333333329E-2</v>
      </c>
      <c r="E34" s="400">
        <v>8</v>
      </c>
      <c r="F34" s="401">
        <v>0</v>
      </c>
      <c r="G34" s="402">
        <f>D34*C34*E34</f>
        <v>17.533333333333331</v>
      </c>
    </row>
    <row r="35" spans="1:7" ht="51" x14ac:dyDescent="0.2">
      <c r="A35" s="399">
        <v>9</v>
      </c>
      <c r="B35" s="396" t="s">
        <v>309</v>
      </c>
      <c r="C35" s="394">
        <v>5.36</v>
      </c>
      <c r="D35" s="395">
        <v>1</v>
      </c>
      <c r="E35" s="400">
        <v>1</v>
      </c>
      <c r="F35" s="401">
        <v>0</v>
      </c>
      <c r="G35" s="402">
        <f t="shared" si="1"/>
        <v>5.36</v>
      </c>
    </row>
    <row r="36" spans="1:7" x14ac:dyDescent="0.2">
      <c r="A36" s="399">
        <v>10</v>
      </c>
      <c r="B36" s="403" t="s">
        <v>235</v>
      </c>
      <c r="C36" s="404"/>
      <c r="D36" s="400"/>
      <c r="E36" s="400"/>
      <c r="F36" s="401">
        <v>0</v>
      </c>
      <c r="G36" s="402">
        <f t="shared" si="1"/>
        <v>0</v>
      </c>
    </row>
    <row r="37" spans="1:7" x14ac:dyDescent="0.2">
      <c r="A37" s="405"/>
      <c r="B37" s="406"/>
      <c r="C37" s="406"/>
      <c r="D37" s="491" t="s">
        <v>236</v>
      </c>
      <c r="E37" s="491"/>
      <c r="F37" s="407"/>
      <c r="G37" s="408">
        <f>SUM(G27:G36)</f>
        <v>54.833333333333329</v>
      </c>
    </row>
  </sheetData>
  <mergeCells count="11">
    <mergeCell ref="D37:E37"/>
    <mergeCell ref="C5:D5"/>
    <mergeCell ref="A7:G7"/>
    <mergeCell ref="A9:G9"/>
    <mergeCell ref="D23:E23"/>
    <mergeCell ref="A25:G25"/>
    <mergeCell ref="A1:G1"/>
    <mergeCell ref="A2:G2"/>
    <mergeCell ref="B3:D3"/>
    <mergeCell ref="E3:G3"/>
    <mergeCell ref="B4:D4"/>
  </mergeCells>
  <pageMargins left="0.78749999999999998" right="0.78749999999999998" top="0.98402777777777795" bottom="0.98402777777777795" header="0.51180555555555496" footer="0.51180555555555496"/>
  <pageSetup paperSize="9" scale="60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0"/>
  <sheetViews>
    <sheetView zoomScaleNormal="100" workbookViewId="0">
      <selection activeCell="C46" sqref="C46"/>
    </sheetView>
  </sheetViews>
  <sheetFormatPr defaultRowHeight="12.75" x14ac:dyDescent="0.2"/>
  <cols>
    <col min="1" max="1" width="18.28515625" customWidth="1"/>
    <col min="2" max="2" width="8.7109375" customWidth="1"/>
    <col min="3" max="3" width="14.28515625" customWidth="1"/>
    <col min="4" max="16" width="8.7109375" customWidth="1"/>
    <col min="17" max="17" width="11.28515625" customWidth="1"/>
    <col min="18" max="1025" width="8.7109375" customWidth="1"/>
  </cols>
  <sheetData>
    <row r="1" spans="1:17" ht="26.25" x14ac:dyDescent="0.2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</row>
    <row r="2" spans="1:17" ht="38.2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2">
      <c r="A3" s="2"/>
      <c r="B3" s="3" t="s">
        <v>18</v>
      </c>
      <c r="C3" s="3" t="s">
        <v>18</v>
      </c>
      <c r="D3" s="3">
        <v>1</v>
      </c>
      <c r="E3" s="3">
        <v>2</v>
      </c>
      <c r="F3" s="3">
        <v>4</v>
      </c>
      <c r="G3" s="3">
        <v>8</v>
      </c>
      <c r="H3" s="3">
        <v>16</v>
      </c>
      <c r="I3" s="3">
        <v>32</v>
      </c>
      <c r="J3" s="3">
        <v>64</v>
      </c>
      <c r="K3" s="3">
        <v>128</v>
      </c>
      <c r="L3" s="3">
        <v>256</v>
      </c>
      <c r="M3" s="3">
        <v>512</v>
      </c>
      <c r="N3" s="3">
        <v>1024</v>
      </c>
      <c r="O3" s="3">
        <v>2048</v>
      </c>
      <c r="P3" s="3">
        <v>4096</v>
      </c>
      <c r="Q3" s="4"/>
    </row>
    <row r="4" spans="1:17" x14ac:dyDescent="0.2">
      <c r="A4" s="5">
        <v>507</v>
      </c>
      <c r="B4" s="6">
        <v>20</v>
      </c>
      <c r="C4" s="6" t="s">
        <v>19</v>
      </c>
      <c r="D4" s="6">
        <v>2.5</v>
      </c>
      <c r="E4" s="6">
        <v>0.2</v>
      </c>
      <c r="F4" s="6">
        <v>1</v>
      </c>
      <c r="G4" s="6">
        <v>1.5</v>
      </c>
      <c r="H4" s="6" t="s">
        <v>18</v>
      </c>
      <c r="I4" s="6" t="s">
        <v>18</v>
      </c>
      <c r="J4" s="6">
        <v>0.6</v>
      </c>
      <c r="K4" s="6" t="s">
        <v>18</v>
      </c>
      <c r="L4" s="6" t="s">
        <v>18</v>
      </c>
      <c r="M4" s="6" t="s">
        <v>18</v>
      </c>
      <c r="N4" s="6" t="s">
        <v>18</v>
      </c>
      <c r="O4" s="6" t="s">
        <v>18</v>
      </c>
      <c r="P4" s="6" t="s">
        <v>18</v>
      </c>
      <c r="Q4" s="7">
        <v>5.8</v>
      </c>
    </row>
    <row r="5" spans="1:17" x14ac:dyDescent="0.2">
      <c r="A5" s="5" t="s">
        <v>20</v>
      </c>
      <c r="B5" s="6">
        <v>20</v>
      </c>
      <c r="C5" s="6" t="s">
        <v>19</v>
      </c>
      <c r="D5" s="6">
        <v>2.5</v>
      </c>
      <c r="E5" s="6">
        <v>0.2</v>
      </c>
      <c r="F5" s="6" t="s">
        <v>18</v>
      </c>
      <c r="G5" s="6" t="s">
        <v>18</v>
      </c>
      <c r="H5" s="6" t="s">
        <v>18</v>
      </c>
      <c r="I5" s="6" t="s">
        <v>18</v>
      </c>
      <c r="J5" s="6">
        <v>0.6</v>
      </c>
      <c r="K5" s="6" t="s">
        <v>18</v>
      </c>
      <c r="L5" s="6" t="s">
        <v>18</v>
      </c>
      <c r="M5" s="6" t="s">
        <v>18</v>
      </c>
      <c r="N5" s="6" t="s">
        <v>18</v>
      </c>
      <c r="O5" s="6" t="s">
        <v>18</v>
      </c>
      <c r="P5" s="6">
        <v>2.5</v>
      </c>
      <c r="Q5" s="7">
        <v>5.8</v>
      </c>
    </row>
    <row r="6" spans="1:17" x14ac:dyDescent="0.2">
      <c r="A6" s="5">
        <v>515</v>
      </c>
      <c r="B6" s="6">
        <v>20</v>
      </c>
      <c r="C6" s="6" t="s">
        <v>19</v>
      </c>
      <c r="D6" s="6">
        <v>2.5</v>
      </c>
      <c r="E6" s="6">
        <v>0.2</v>
      </c>
      <c r="F6" s="6" t="s">
        <v>18</v>
      </c>
      <c r="G6" s="6" t="s">
        <v>18</v>
      </c>
      <c r="H6" s="6">
        <v>1</v>
      </c>
      <c r="I6" s="6">
        <v>1.5</v>
      </c>
      <c r="J6" s="6">
        <v>0.6</v>
      </c>
      <c r="K6" s="6" t="s">
        <v>18</v>
      </c>
      <c r="L6" s="6" t="s">
        <v>18</v>
      </c>
      <c r="M6" s="6" t="s">
        <v>18</v>
      </c>
      <c r="N6" s="6" t="s">
        <v>18</v>
      </c>
      <c r="O6" s="6" t="s">
        <v>18</v>
      </c>
      <c r="P6" s="6" t="s">
        <v>18</v>
      </c>
      <c r="Q6" s="7">
        <v>5.8</v>
      </c>
    </row>
    <row r="7" spans="1:17" x14ac:dyDescent="0.2">
      <c r="A7" s="5" t="s">
        <v>21</v>
      </c>
      <c r="B7" s="6">
        <v>20</v>
      </c>
      <c r="C7" s="6" t="s">
        <v>19</v>
      </c>
      <c r="D7" s="6">
        <v>2.5</v>
      </c>
      <c r="E7" s="6">
        <v>0.2</v>
      </c>
      <c r="F7" s="6" t="s">
        <v>18</v>
      </c>
      <c r="G7" s="6" t="s">
        <v>18</v>
      </c>
      <c r="H7" s="6" t="s">
        <v>18</v>
      </c>
      <c r="I7" s="6" t="s">
        <v>18</v>
      </c>
      <c r="J7" s="6">
        <v>0.6</v>
      </c>
      <c r="K7" s="6" t="s">
        <v>18</v>
      </c>
      <c r="L7" s="6" t="s">
        <v>18</v>
      </c>
      <c r="M7" s="6" t="s">
        <v>18</v>
      </c>
      <c r="N7" s="6" t="s">
        <v>18</v>
      </c>
      <c r="O7" s="6" t="s">
        <v>18</v>
      </c>
      <c r="P7" s="6">
        <v>2.5</v>
      </c>
      <c r="Q7" s="7">
        <v>5.8</v>
      </c>
    </row>
    <row r="8" spans="1:17" x14ac:dyDescent="0.2">
      <c r="A8" s="5">
        <v>523</v>
      </c>
      <c r="B8" s="6">
        <v>20</v>
      </c>
      <c r="C8" s="6" t="s">
        <v>19</v>
      </c>
      <c r="D8" s="6">
        <v>2.5</v>
      </c>
      <c r="E8" s="6">
        <v>0.2</v>
      </c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6" t="s">
        <v>18</v>
      </c>
      <c r="M8" s="6" t="s">
        <v>18</v>
      </c>
      <c r="N8" s="6" t="s">
        <v>18</v>
      </c>
      <c r="O8" s="6" t="s">
        <v>18</v>
      </c>
      <c r="P8" s="6" t="s">
        <v>18</v>
      </c>
      <c r="Q8" s="7">
        <v>2.7</v>
      </c>
    </row>
    <row r="9" spans="1:17" x14ac:dyDescent="0.2">
      <c r="A9" s="5">
        <v>531</v>
      </c>
      <c r="B9" s="6">
        <v>20</v>
      </c>
      <c r="C9" s="6" t="s">
        <v>19</v>
      </c>
      <c r="D9" s="6">
        <v>2.5</v>
      </c>
      <c r="E9" s="6">
        <v>2.7</v>
      </c>
      <c r="F9" s="6" t="s">
        <v>18</v>
      </c>
      <c r="G9" s="6" t="s">
        <v>18</v>
      </c>
      <c r="H9" s="6" t="s">
        <v>18</v>
      </c>
      <c r="I9" s="6" t="s">
        <v>18</v>
      </c>
      <c r="J9" s="6" t="s">
        <v>18</v>
      </c>
      <c r="K9" s="6" t="s">
        <v>18</v>
      </c>
      <c r="L9" s="6" t="s">
        <v>18</v>
      </c>
      <c r="M9" s="6" t="s">
        <v>18</v>
      </c>
      <c r="N9" s="6" t="s">
        <v>18</v>
      </c>
      <c r="O9" s="6" t="s">
        <v>18</v>
      </c>
      <c r="P9" s="6" t="s">
        <v>18</v>
      </c>
      <c r="Q9" s="7">
        <v>5.2</v>
      </c>
    </row>
    <row r="10" spans="1:17" x14ac:dyDescent="0.2">
      <c r="A10" s="5">
        <v>540</v>
      </c>
      <c r="B10" s="6">
        <v>20</v>
      </c>
      <c r="C10" s="6" t="s">
        <v>19</v>
      </c>
      <c r="D10" s="6">
        <v>2.5</v>
      </c>
      <c r="E10" s="6">
        <v>0.2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>
        <v>2.5</v>
      </c>
      <c r="L10" s="6" t="s">
        <v>18</v>
      </c>
      <c r="M10" s="6" t="s">
        <v>18</v>
      </c>
      <c r="N10" s="6" t="s">
        <v>18</v>
      </c>
      <c r="O10" s="6" t="s">
        <v>18</v>
      </c>
      <c r="P10" s="6" t="s">
        <v>18</v>
      </c>
      <c r="Q10" s="7">
        <v>5.2</v>
      </c>
    </row>
    <row r="11" spans="1:17" x14ac:dyDescent="0.2">
      <c r="A11" s="5">
        <v>558</v>
      </c>
      <c r="B11" s="6">
        <v>20</v>
      </c>
      <c r="C11" s="6" t="s">
        <v>19</v>
      </c>
      <c r="D11" s="6">
        <v>2.5</v>
      </c>
      <c r="E11" s="6">
        <v>0.2</v>
      </c>
      <c r="F11" s="6" t="s">
        <v>18</v>
      </c>
      <c r="G11" s="6" t="s">
        <v>18</v>
      </c>
      <c r="H11" s="6" t="s">
        <v>18</v>
      </c>
      <c r="I11" s="6" t="s">
        <v>18</v>
      </c>
      <c r="J11" s="6" t="s">
        <v>18</v>
      </c>
      <c r="K11" s="6" t="s">
        <v>18</v>
      </c>
      <c r="L11" s="6">
        <v>2.5</v>
      </c>
      <c r="M11" s="6" t="s">
        <v>18</v>
      </c>
      <c r="N11" s="6" t="s">
        <v>18</v>
      </c>
      <c r="O11" s="6" t="s">
        <v>18</v>
      </c>
      <c r="P11" s="6" t="s">
        <v>18</v>
      </c>
      <c r="Q11" s="7">
        <v>5.2</v>
      </c>
    </row>
    <row r="12" spans="1:17" x14ac:dyDescent="0.2">
      <c r="A12" s="5">
        <v>566</v>
      </c>
      <c r="B12" s="6">
        <v>20</v>
      </c>
      <c r="C12" s="6" t="s">
        <v>19</v>
      </c>
      <c r="D12" s="6">
        <v>2.5</v>
      </c>
      <c r="E12" s="6">
        <v>0.2</v>
      </c>
      <c r="F12" s="6" t="s">
        <v>18</v>
      </c>
      <c r="G12" s="6" t="s">
        <v>18</v>
      </c>
      <c r="H12" s="6" t="s">
        <v>18</v>
      </c>
      <c r="I12" s="6">
        <v>1.5</v>
      </c>
      <c r="J12" s="6">
        <v>0.3</v>
      </c>
      <c r="K12" s="6" t="s">
        <v>18</v>
      </c>
      <c r="L12" s="6" t="s">
        <v>18</v>
      </c>
      <c r="M12" s="6" t="s">
        <v>18</v>
      </c>
      <c r="N12" s="6" t="s">
        <v>18</v>
      </c>
      <c r="O12" s="6" t="s">
        <v>18</v>
      </c>
      <c r="P12" s="6" t="s">
        <v>18</v>
      </c>
      <c r="Q12" s="7">
        <v>4.5</v>
      </c>
    </row>
    <row r="13" spans="1:17" x14ac:dyDescent="0.2">
      <c r="A13" s="5" t="s">
        <v>22</v>
      </c>
      <c r="B13" s="6">
        <v>20</v>
      </c>
      <c r="C13" s="6" t="s">
        <v>19</v>
      </c>
      <c r="D13" s="6">
        <v>2.5</v>
      </c>
      <c r="E13" s="6">
        <v>0.2</v>
      </c>
      <c r="F13" s="6" t="s">
        <v>18</v>
      </c>
      <c r="G13" s="6" t="s">
        <v>18</v>
      </c>
      <c r="H13" s="6" t="s">
        <v>18</v>
      </c>
      <c r="I13" s="6" t="s">
        <v>18</v>
      </c>
      <c r="J13" s="6">
        <v>0.3</v>
      </c>
      <c r="K13" s="6" t="s">
        <v>18</v>
      </c>
      <c r="L13" s="6" t="s">
        <v>18</v>
      </c>
      <c r="M13" s="6" t="s">
        <v>18</v>
      </c>
      <c r="N13" s="6" t="s">
        <v>18</v>
      </c>
      <c r="O13" s="6" t="s">
        <v>18</v>
      </c>
      <c r="P13" s="6">
        <v>2.5</v>
      </c>
      <c r="Q13" s="7">
        <v>5.5</v>
      </c>
    </row>
    <row r="14" spans="1:17" x14ac:dyDescent="0.2">
      <c r="A14" s="5">
        <v>574</v>
      </c>
      <c r="B14" s="6">
        <v>20</v>
      </c>
      <c r="C14" s="6" t="s">
        <v>19</v>
      </c>
      <c r="D14" s="6">
        <v>2.5</v>
      </c>
      <c r="E14" s="6">
        <v>0.2</v>
      </c>
      <c r="F14" s="6" t="s">
        <v>18</v>
      </c>
      <c r="G14" s="6" t="s">
        <v>18</v>
      </c>
      <c r="H14" s="6" t="s">
        <v>18</v>
      </c>
      <c r="I14" s="6">
        <v>1.5</v>
      </c>
      <c r="J14" s="6">
        <v>0.3</v>
      </c>
      <c r="K14" s="6" t="s">
        <v>18</v>
      </c>
      <c r="L14" s="6" t="s">
        <v>18</v>
      </c>
      <c r="M14" s="6" t="s">
        <v>18</v>
      </c>
      <c r="N14" s="6" t="s">
        <v>18</v>
      </c>
      <c r="O14" s="6" t="s">
        <v>18</v>
      </c>
      <c r="P14" s="6" t="s">
        <v>18</v>
      </c>
      <c r="Q14" s="7">
        <v>4.5</v>
      </c>
    </row>
    <row r="15" spans="1:17" x14ac:dyDescent="0.2">
      <c r="A15" s="5" t="s">
        <v>23</v>
      </c>
      <c r="B15" s="6">
        <v>20</v>
      </c>
      <c r="C15" s="6" t="s">
        <v>19</v>
      </c>
      <c r="D15" s="6">
        <v>2.5</v>
      </c>
      <c r="E15" s="6">
        <v>0.2</v>
      </c>
      <c r="F15" s="6" t="s">
        <v>18</v>
      </c>
      <c r="G15" s="6" t="s">
        <v>18</v>
      </c>
      <c r="H15" s="6" t="s">
        <v>18</v>
      </c>
      <c r="I15" s="6" t="s">
        <v>18</v>
      </c>
      <c r="J15" s="6">
        <v>0.3</v>
      </c>
      <c r="K15" s="6" t="s">
        <v>18</v>
      </c>
      <c r="L15" s="6" t="s">
        <v>18</v>
      </c>
      <c r="M15" s="6" t="s">
        <v>18</v>
      </c>
      <c r="N15" s="6" t="s">
        <v>18</v>
      </c>
      <c r="O15" s="6" t="s">
        <v>18</v>
      </c>
      <c r="P15" s="6">
        <v>2.5</v>
      </c>
      <c r="Q15" s="7">
        <v>5.5</v>
      </c>
    </row>
    <row r="16" spans="1:17" x14ac:dyDescent="0.2">
      <c r="A16" s="5">
        <v>582</v>
      </c>
      <c r="B16" s="6">
        <v>20</v>
      </c>
      <c r="C16" s="6" t="s">
        <v>19</v>
      </c>
      <c r="D16" s="6" t="s">
        <v>18</v>
      </c>
      <c r="E16" s="6" t="s">
        <v>18</v>
      </c>
      <c r="F16" s="6" t="s">
        <v>18</v>
      </c>
      <c r="G16" s="6" t="s">
        <v>18</v>
      </c>
      <c r="H16" s="6" t="s">
        <v>18</v>
      </c>
      <c r="I16" s="6" t="s">
        <v>18</v>
      </c>
      <c r="J16" s="6" t="s">
        <v>18</v>
      </c>
      <c r="K16" s="6" t="s">
        <v>18</v>
      </c>
      <c r="L16" s="6" t="s">
        <v>18</v>
      </c>
      <c r="M16" s="6" t="s">
        <v>18</v>
      </c>
      <c r="N16" s="6" t="s">
        <v>18</v>
      </c>
      <c r="O16" s="6" t="s">
        <v>18</v>
      </c>
      <c r="P16" s="6" t="s">
        <v>18</v>
      </c>
      <c r="Q16" s="7" t="s">
        <v>18</v>
      </c>
    </row>
    <row r="17" spans="1:17" x14ac:dyDescent="0.2">
      <c r="A17" s="5">
        <v>590</v>
      </c>
      <c r="B17" s="6">
        <v>20</v>
      </c>
      <c r="C17" s="6" t="s">
        <v>19</v>
      </c>
      <c r="D17" s="6">
        <v>2.5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18</v>
      </c>
      <c r="J17" s="6" t="s">
        <v>18</v>
      </c>
      <c r="K17" s="6" t="s">
        <v>18</v>
      </c>
      <c r="L17" s="6" t="s">
        <v>18</v>
      </c>
      <c r="M17" s="6" t="s">
        <v>18</v>
      </c>
      <c r="N17" s="6" t="s">
        <v>18</v>
      </c>
      <c r="O17" s="6" t="s">
        <v>18</v>
      </c>
      <c r="P17" s="6" t="s">
        <v>18</v>
      </c>
      <c r="Q17" s="7">
        <v>2.5</v>
      </c>
    </row>
    <row r="18" spans="1:17" x14ac:dyDescent="0.2">
      <c r="A18" s="5">
        <v>604</v>
      </c>
      <c r="B18" s="6" t="s">
        <v>18</v>
      </c>
      <c r="C18" s="6" t="s">
        <v>18</v>
      </c>
      <c r="D18" s="6">
        <v>2.5</v>
      </c>
      <c r="E18" s="6">
        <v>0.2</v>
      </c>
      <c r="F18" s="6" t="s">
        <v>18</v>
      </c>
      <c r="G18" s="6" t="s">
        <v>18</v>
      </c>
      <c r="H18" s="6" t="s">
        <v>18</v>
      </c>
      <c r="I18" s="6" t="s">
        <v>18</v>
      </c>
      <c r="J18" s="6" t="s">
        <v>18</v>
      </c>
      <c r="K18" s="6" t="s">
        <v>18</v>
      </c>
      <c r="L18" s="6" t="s">
        <v>18</v>
      </c>
      <c r="M18" s="6" t="s">
        <v>18</v>
      </c>
      <c r="N18" s="6" t="s">
        <v>18</v>
      </c>
      <c r="O18" s="6" t="s">
        <v>18</v>
      </c>
      <c r="P18" s="6" t="s">
        <v>18</v>
      </c>
      <c r="Q18" s="7">
        <v>2.7</v>
      </c>
    </row>
    <row r="19" spans="1:17" x14ac:dyDescent="0.2">
      <c r="A19" s="5">
        <v>612</v>
      </c>
      <c r="B19" s="6">
        <v>20</v>
      </c>
      <c r="C19" s="6" t="s">
        <v>19</v>
      </c>
      <c r="D19" s="6">
        <v>2.5</v>
      </c>
      <c r="E19" s="6">
        <v>0.2</v>
      </c>
      <c r="F19" s="6" t="s">
        <v>18</v>
      </c>
      <c r="G19" s="6" t="s">
        <v>18</v>
      </c>
      <c r="H19" s="6" t="s">
        <v>18</v>
      </c>
      <c r="I19" s="6" t="s">
        <v>18</v>
      </c>
      <c r="J19" s="6">
        <v>0.6</v>
      </c>
      <c r="K19" s="6" t="s">
        <v>18</v>
      </c>
      <c r="L19" s="6" t="s">
        <v>18</v>
      </c>
      <c r="M19" s="6" t="s">
        <v>18</v>
      </c>
      <c r="N19" s="6">
        <v>1.5</v>
      </c>
      <c r="O19" s="6">
        <v>1</v>
      </c>
      <c r="P19" s="6" t="s">
        <v>18</v>
      </c>
      <c r="Q19" s="7">
        <v>5.8</v>
      </c>
    </row>
    <row r="20" spans="1:17" x14ac:dyDescent="0.2">
      <c r="A20" s="5" t="s">
        <v>24</v>
      </c>
      <c r="B20" s="6">
        <v>20</v>
      </c>
      <c r="C20" s="6" t="s">
        <v>19</v>
      </c>
      <c r="D20" s="6">
        <v>2.5</v>
      </c>
      <c r="E20" s="6">
        <v>0.2</v>
      </c>
      <c r="F20" s="6" t="s">
        <v>18</v>
      </c>
      <c r="G20" s="6" t="s">
        <v>18</v>
      </c>
      <c r="H20" s="6" t="s">
        <v>18</v>
      </c>
      <c r="I20" s="6" t="s">
        <v>18</v>
      </c>
      <c r="J20" s="6">
        <v>0.6</v>
      </c>
      <c r="K20" s="6" t="s">
        <v>18</v>
      </c>
      <c r="L20" s="6" t="s">
        <v>18</v>
      </c>
      <c r="M20" s="6" t="s">
        <v>18</v>
      </c>
      <c r="N20" s="6" t="s">
        <v>18</v>
      </c>
      <c r="O20" s="6" t="s">
        <v>18</v>
      </c>
      <c r="P20" s="6">
        <v>2.5</v>
      </c>
      <c r="Q20" s="7">
        <v>5.8</v>
      </c>
    </row>
    <row r="21" spans="1:17" x14ac:dyDescent="0.2">
      <c r="A21" s="5">
        <v>620</v>
      </c>
      <c r="B21" s="6">
        <v>20</v>
      </c>
      <c r="C21" s="6" t="s">
        <v>18</v>
      </c>
      <c r="D21" s="6" t="s">
        <v>18</v>
      </c>
      <c r="E21" s="6" t="s">
        <v>18</v>
      </c>
      <c r="F21" s="6" t="s">
        <v>18</v>
      </c>
      <c r="G21" s="6" t="s">
        <v>18</v>
      </c>
      <c r="H21" s="6" t="s">
        <v>18</v>
      </c>
      <c r="I21" s="6" t="s">
        <v>18</v>
      </c>
      <c r="J21" s="6" t="s">
        <v>18</v>
      </c>
      <c r="K21" s="6" t="s">
        <v>18</v>
      </c>
      <c r="L21" s="6" t="s">
        <v>18</v>
      </c>
      <c r="M21" s="6" t="s">
        <v>18</v>
      </c>
      <c r="N21" s="6">
        <v>1.5</v>
      </c>
      <c r="O21" s="6">
        <v>1</v>
      </c>
      <c r="P21" s="6" t="s">
        <v>18</v>
      </c>
      <c r="Q21" s="7">
        <v>2.5</v>
      </c>
    </row>
    <row r="22" spans="1:17" x14ac:dyDescent="0.2">
      <c r="A22" s="5">
        <v>639</v>
      </c>
      <c r="B22" s="6" t="s">
        <v>18</v>
      </c>
      <c r="C22" s="6" t="s">
        <v>18</v>
      </c>
      <c r="D22" s="6" t="s">
        <v>18</v>
      </c>
      <c r="E22" s="6" t="s">
        <v>18</v>
      </c>
      <c r="F22" s="6" t="s">
        <v>18</v>
      </c>
      <c r="G22" s="6" t="s">
        <v>18</v>
      </c>
      <c r="H22" s="6" t="s">
        <v>18</v>
      </c>
      <c r="I22" s="6" t="s">
        <v>18</v>
      </c>
      <c r="J22" s="6" t="s">
        <v>18</v>
      </c>
      <c r="K22" s="6" t="s">
        <v>18</v>
      </c>
      <c r="L22" s="6" t="s">
        <v>18</v>
      </c>
      <c r="M22" s="6" t="s">
        <v>18</v>
      </c>
      <c r="N22" s="6" t="s">
        <v>18</v>
      </c>
      <c r="O22" s="6" t="s">
        <v>18</v>
      </c>
      <c r="P22" s="6" t="s">
        <v>18</v>
      </c>
      <c r="Q22" s="7" t="s">
        <v>18</v>
      </c>
    </row>
    <row r="23" spans="1:17" x14ac:dyDescent="0.2">
      <c r="A23" s="5">
        <v>647</v>
      </c>
      <c r="B23" s="6" t="s">
        <v>18</v>
      </c>
      <c r="C23" s="6" t="s">
        <v>18</v>
      </c>
      <c r="D23" s="6">
        <v>2.5</v>
      </c>
      <c r="E23" s="6">
        <v>0.2</v>
      </c>
      <c r="F23" s="6" t="s">
        <v>18</v>
      </c>
      <c r="G23" s="6" t="s">
        <v>18</v>
      </c>
      <c r="H23" s="6" t="s">
        <v>18</v>
      </c>
      <c r="I23" s="6">
        <v>1.5</v>
      </c>
      <c r="J23" s="6">
        <v>0.3</v>
      </c>
      <c r="K23" s="6" t="s">
        <v>18</v>
      </c>
      <c r="L23" s="6" t="s">
        <v>18</v>
      </c>
      <c r="M23" s="6" t="s">
        <v>18</v>
      </c>
      <c r="N23" s="6" t="s">
        <v>18</v>
      </c>
      <c r="O23" s="6" t="s">
        <v>18</v>
      </c>
      <c r="P23" s="6" t="s">
        <v>18</v>
      </c>
      <c r="Q23" s="7">
        <v>4.5</v>
      </c>
    </row>
    <row r="24" spans="1:17" x14ac:dyDescent="0.2">
      <c r="A24" s="5">
        <v>655</v>
      </c>
      <c r="B24" s="6">
        <v>20</v>
      </c>
      <c r="C24" s="6" t="s">
        <v>19</v>
      </c>
      <c r="D24" s="6">
        <v>2.5</v>
      </c>
      <c r="E24" s="6" t="s">
        <v>18</v>
      </c>
      <c r="F24" s="6" t="s">
        <v>18</v>
      </c>
      <c r="G24" s="6" t="s">
        <v>18</v>
      </c>
      <c r="H24" s="6" t="s">
        <v>18</v>
      </c>
      <c r="I24" s="6" t="s">
        <v>18</v>
      </c>
      <c r="J24" s="6" t="s">
        <v>18</v>
      </c>
      <c r="K24" s="6" t="s">
        <v>18</v>
      </c>
      <c r="L24" s="6" t="s">
        <v>18</v>
      </c>
      <c r="M24" s="6" t="s">
        <v>18</v>
      </c>
      <c r="N24" s="6" t="s">
        <v>18</v>
      </c>
      <c r="O24" s="6" t="s">
        <v>18</v>
      </c>
      <c r="P24" s="6" t="s">
        <v>18</v>
      </c>
      <c r="Q24" s="7">
        <v>2.5</v>
      </c>
    </row>
    <row r="25" spans="1:17" x14ac:dyDescent="0.2">
      <c r="A25" s="5">
        <v>680</v>
      </c>
      <c r="B25" s="6">
        <v>20</v>
      </c>
      <c r="C25" s="6" t="s">
        <v>19</v>
      </c>
      <c r="D25" s="6">
        <v>2.5</v>
      </c>
      <c r="E25" s="6">
        <v>0.2</v>
      </c>
      <c r="F25" s="6" t="s">
        <v>18</v>
      </c>
      <c r="G25" s="6" t="s">
        <v>18</v>
      </c>
      <c r="H25" s="6" t="s">
        <v>18</v>
      </c>
      <c r="I25" s="6" t="s">
        <v>18</v>
      </c>
      <c r="J25" s="6" t="s">
        <v>18</v>
      </c>
      <c r="K25" s="6">
        <v>2.5</v>
      </c>
      <c r="L25" s="6" t="s">
        <v>18</v>
      </c>
      <c r="M25" s="6" t="s">
        <v>18</v>
      </c>
      <c r="N25" s="6" t="s">
        <v>18</v>
      </c>
      <c r="O25" s="6" t="s">
        <v>18</v>
      </c>
      <c r="P25" s="6" t="s">
        <v>18</v>
      </c>
      <c r="Q25" s="7">
        <v>5.2</v>
      </c>
    </row>
    <row r="26" spans="1:17" x14ac:dyDescent="0.2">
      <c r="A26" s="5">
        <v>736</v>
      </c>
      <c r="B26" s="6">
        <v>22.5</v>
      </c>
      <c r="C26" s="6" t="s">
        <v>19</v>
      </c>
      <c r="D26" s="6">
        <v>2.5</v>
      </c>
      <c r="E26" s="6">
        <v>0.2</v>
      </c>
      <c r="F26" s="6" t="s">
        <v>18</v>
      </c>
      <c r="G26" s="6" t="s">
        <v>18</v>
      </c>
      <c r="H26" s="6" t="s">
        <v>18</v>
      </c>
      <c r="I26" s="6" t="s">
        <v>18</v>
      </c>
      <c r="J26" s="6" t="s">
        <v>18</v>
      </c>
      <c r="K26" s="6" t="s">
        <v>18</v>
      </c>
      <c r="L26" s="6" t="s">
        <v>18</v>
      </c>
      <c r="M26" s="6" t="s">
        <v>18</v>
      </c>
      <c r="N26" s="6" t="s">
        <v>18</v>
      </c>
      <c r="O26" s="6" t="s">
        <v>18</v>
      </c>
      <c r="P26" s="6" t="s">
        <v>18</v>
      </c>
      <c r="Q26" s="7">
        <v>2.7</v>
      </c>
    </row>
    <row r="27" spans="1:17" x14ac:dyDescent="0.2">
      <c r="A27" s="5" t="s">
        <v>25</v>
      </c>
      <c r="B27" s="6">
        <v>2</v>
      </c>
      <c r="C27" s="6">
        <v>0.1</v>
      </c>
      <c r="D27" s="6" t="s">
        <v>18</v>
      </c>
      <c r="E27" s="6" t="s">
        <v>18</v>
      </c>
      <c r="F27" s="6" t="s">
        <v>18</v>
      </c>
      <c r="G27" s="6" t="s">
        <v>18</v>
      </c>
      <c r="H27" s="6" t="s">
        <v>18</v>
      </c>
      <c r="I27" s="6" t="s">
        <v>18</v>
      </c>
      <c r="J27" s="6" t="s">
        <v>18</v>
      </c>
      <c r="K27" s="6" t="s">
        <v>18</v>
      </c>
      <c r="L27" s="6" t="s">
        <v>18</v>
      </c>
      <c r="M27" s="6">
        <v>0.2</v>
      </c>
      <c r="N27" s="6" t="s">
        <v>18</v>
      </c>
      <c r="O27" s="6" t="s">
        <v>18</v>
      </c>
      <c r="P27" s="6" t="s">
        <v>18</v>
      </c>
      <c r="Q27" s="7">
        <v>0.2</v>
      </c>
    </row>
    <row r="28" spans="1:17" x14ac:dyDescent="0.2">
      <c r="A28" s="5" t="s">
        <v>26</v>
      </c>
      <c r="B28" s="6">
        <v>2</v>
      </c>
      <c r="C28" s="6">
        <v>0.1</v>
      </c>
      <c r="D28" s="6" t="s">
        <v>18</v>
      </c>
      <c r="E28" s="6" t="s">
        <v>18</v>
      </c>
      <c r="F28" s="6" t="s">
        <v>18</v>
      </c>
      <c r="G28" s="6" t="e">
        <f>#REF!</f>
        <v>#REF!</v>
      </c>
      <c r="H28" s="6" t="s">
        <v>18</v>
      </c>
      <c r="I28" s="6" t="s">
        <v>18</v>
      </c>
      <c r="J28" s="6" t="s">
        <v>18</v>
      </c>
      <c r="K28" s="6" t="s">
        <v>18</v>
      </c>
      <c r="L28" s="6" t="s">
        <v>18</v>
      </c>
      <c r="M28" s="6">
        <v>0.2</v>
      </c>
      <c r="N28" s="6" t="s">
        <v>18</v>
      </c>
      <c r="O28" s="6" t="s">
        <v>18</v>
      </c>
      <c r="P28" s="6" t="s">
        <v>18</v>
      </c>
      <c r="Q28" s="7">
        <v>0.2</v>
      </c>
    </row>
    <row r="29" spans="1:17" x14ac:dyDescent="0.2">
      <c r="A29" s="5" t="s">
        <v>27</v>
      </c>
      <c r="B29" s="6">
        <v>2.5</v>
      </c>
      <c r="C29" s="6">
        <v>0.1</v>
      </c>
      <c r="D29" s="6" t="s">
        <v>18</v>
      </c>
      <c r="E29" s="6" t="s">
        <v>18</v>
      </c>
      <c r="F29" s="6" t="s">
        <v>18</v>
      </c>
      <c r="G29" s="6" t="s">
        <v>18</v>
      </c>
      <c r="H29" s="6" t="s">
        <v>18</v>
      </c>
      <c r="I29" s="6" t="s">
        <v>18</v>
      </c>
      <c r="J29" s="6" t="s">
        <v>18</v>
      </c>
      <c r="K29" s="6" t="s">
        <v>18</v>
      </c>
      <c r="L29" s="6" t="s">
        <v>18</v>
      </c>
      <c r="M29" s="6">
        <v>0.25</v>
      </c>
      <c r="N29" s="6" t="s">
        <v>18</v>
      </c>
      <c r="O29" s="6" t="s">
        <v>18</v>
      </c>
      <c r="P29" s="6" t="s">
        <v>18</v>
      </c>
      <c r="Q29" s="7">
        <v>0.25</v>
      </c>
    </row>
    <row r="30" spans="1:17" x14ac:dyDescent="0.2">
      <c r="A30" s="5" t="s">
        <v>28</v>
      </c>
      <c r="B30" s="6">
        <v>2.5</v>
      </c>
      <c r="C30" s="6">
        <v>0.1</v>
      </c>
      <c r="D30" s="6" t="s">
        <v>18</v>
      </c>
      <c r="E30" s="6" t="s">
        <v>18</v>
      </c>
      <c r="F30" s="6" t="s">
        <v>18</v>
      </c>
      <c r="G30" s="6" t="s">
        <v>18</v>
      </c>
      <c r="H30" s="6" t="s">
        <v>18</v>
      </c>
      <c r="I30" s="6" t="s">
        <v>18</v>
      </c>
      <c r="J30" s="6" t="s">
        <v>18</v>
      </c>
      <c r="K30" s="6" t="s">
        <v>18</v>
      </c>
      <c r="L30" s="6" t="s">
        <v>18</v>
      </c>
      <c r="M30" s="6">
        <v>0.25</v>
      </c>
      <c r="N30" s="6" t="s">
        <v>18</v>
      </c>
      <c r="O30" s="6" t="s">
        <v>18</v>
      </c>
      <c r="P30" s="6" t="s">
        <v>18</v>
      </c>
      <c r="Q30" s="7">
        <v>0.25</v>
      </c>
    </row>
    <row r="31" spans="1:17" x14ac:dyDescent="0.2">
      <c r="A31" s="5">
        <v>779</v>
      </c>
      <c r="B31" s="6">
        <v>5</v>
      </c>
      <c r="C31" s="6" t="s">
        <v>18</v>
      </c>
      <c r="D31" s="6" t="s">
        <v>18</v>
      </c>
      <c r="E31" s="6" t="s">
        <v>18</v>
      </c>
      <c r="F31" s="6" t="s">
        <v>18</v>
      </c>
      <c r="G31" s="6" t="s">
        <v>18</v>
      </c>
      <c r="H31" s="6" t="s">
        <v>18</v>
      </c>
      <c r="I31" s="6" t="s">
        <v>18</v>
      </c>
      <c r="J31" s="6" t="s">
        <v>18</v>
      </c>
      <c r="K31" s="6" t="s">
        <v>18</v>
      </c>
      <c r="L31" s="6" t="s">
        <v>18</v>
      </c>
      <c r="M31" s="6" t="s">
        <v>18</v>
      </c>
      <c r="N31" s="6" t="s">
        <v>18</v>
      </c>
      <c r="O31" s="6" t="s">
        <v>18</v>
      </c>
      <c r="P31" s="6" t="s">
        <v>18</v>
      </c>
      <c r="Q31" s="7" t="s">
        <v>18</v>
      </c>
    </row>
    <row r="32" spans="1:17" x14ac:dyDescent="0.2">
      <c r="A32" s="5">
        <v>787</v>
      </c>
      <c r="B32" s="6">
        <v>20</v>
      </c>
      <c r="C32" s="6" t="s">
        <v>19</v>
      </c>
      <c r="D32" s="6">
        <v>2.5</v>
      </c>
      <c r="E32" s="6">
        <v>0.2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18</v>
      </c>
      <c r="M32" s="6">
        <v>2.5</v>
      </c>
      <c r="N32" s="6" t="s">
        <v>18</v>
      </c>
      <c r="O32" s="6" t="s">
        <v>18</v>
      </c>
      <c r="P32" s="6" t="s">
        <v>18</v>
      </c>
      <c r="Q32" s="7">
        <v>5.2</v>
      </c>
    </row>
    <row r="33" spans="1:17" x14ac:dyDescent="0.2">
      <c r="A33" s="5" t="s">
        <v>29</v>
      </c>
      <c r="B33" s="6">
        <v>20</v>
      </c>
      <c r="C33" s="6" t="s">
        <v>19</v>
      </c>
      <c r="D33" s="6">
        <v>2.5</v>
      </c>
      <c r="E33" s="6">
        <v>0.2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18</v>
      </c>
      <c r="M33" s="6" t="s">
        <v>18</v>
      </c>
      <c r="N33" s="6" t="s">
        <v>18</v>
      </c>
      <c r="O33" s="6" t="s">
        <v>18</v>
      </c>
      <c r="P33" s="6">
        <v>2.5</v>
      </c>
      <c r="Q33" s="7">
        <v>5.2</v>
      </c>
    </row>
    <row r="34" spans="1:17" x14ac:dyDescent="0.2">
      <c r="A34" s="5" t="s">
        <v>30</v>
      </c>
      <c r="B34" s="6">
        <v>20</v>
      </c>
      <c r="C34" s="6" t="s">
        <v>19</v>
      </c>
      <c r="D34" s="6">
        <v>2.5</v>
      </c>
      <c r="E34" s="6">
        <v>2.7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18</v>
      </c>
      <c r="M34" s="6" t="s">
        <v>18</v>
      </c>
      <c r="N34" s="6" t="s">
        <v>18</v>
      </c>
      <c r="O34" s="6" t="s">
        <v>18</v>
      </c>
      <c r="P34" s="6">
        <v>2.5</v>
      </c>
      <c r="Q34" s="7">
        <v>7.7</v>
      </c>
    </row>
    <row r="35" spans="1:17" x14ac:dyDescent="0.2">
      <c r="A35" s="5">
        <v>825</v>
      </c>
      <c r="B35" s="6" t="s">
        <v>18</v>
      </c>
      <c r="C35" s="6" t="s">
        <v>18</v>
      </c>
      <c r="D35" s="6">
        <v>2.5</v>
      </c>
      <c r="E35" s="6">
        <v>2.7</v>
      </c>
      <c r="F35" s="6" t="s">
        <v>18</v>
      </c>
      <c r="G35" s="6" t="s">
        <v>18</v>
      </c>
      <c r="H35" s="6" t="s">
        <v>18</v>
      </c>
      <c r="I35" s="6" t="s">
        <v>18</v>
      </c>
      <c r="J35" s="6" t="s">
        <v>18</v>
      </c>
      <c r="K35" s="6" t="s">
        <v>18</v>
      </c>
      <c r="L35" s="6" t="s">
        <v>18</v>
      </c>
      <c r="M35" s="6" t="s">
        <v>18</v>
      </c>
      <c r="N35" s="6" t="s">
        <v>18</v>
      </c>
      <c r="O35" s="6" t="s">
        <v>18</v>
      </c>
      <c r="P35" s="6" t="s">
        <v>18</v>
      </c>
      <c r="Q35" s="7">
        <v>5.2</v>
      </c>
    </row>
    <row r="36" spans="1:17" x14ac:dyDescent="0.2">
      <c r="A36" s="5">
        <v>833</v>
      </c>
      <c r="B36" s="6" t="s">
        <v>18</v>
      </c>
      <c r="C36" s="6" t="s">
        <v>18</v>
      </c>
      <c r="D36" s="6">
        <v>2.5</v>
      </c>
      <c r="E36" s="6">
        <v>0.2</v>
      </c>
      <c r="F36" s="6">
        <v>1</v>
      </c>
      <c r="G36" s="6">
        <v>1.5</v>
      </c>
      <c r="H36" s="6" t="s">
        <v>18</v>
      </c>
      <c r="I36" s="6" t="s">
        <v>18</v>
      </c>
      <c r="J36" s="6">
        <v>0.6</v>
      </c>
      <c r="K36" s="6" t="s">
        <v>18</v>
      </c>
      <c r="L36" s="6" t="s">
        <v>18</v>
      </c>
      <c r="M36" s="6" t="s">
        <v>18</v>
      </c>
      <c r="N36" s="6" t="s">
        <v>18</v>
      </c>
      <c r="O36" s="6" t="s">
        <v>18</v>
      </c>
      <c r="P36" s="6" t="s">
        <v>18</v>
      </c>
      <c r="Q36" s="7">
        <v>5.8</v>
      </c>
    </row>
    <row r="37" spans="1:17" x14ac:dyDescent="0.2">
      <c r="A37" s="8">
        <v>876</v>
      </c>
      <c r="B37" s="9">
        <v>20</v>
      </c>
      <c r="C37" s="9" t="s">
        <v>19</v>
      </c>
      <c r="D37" s="9" t="s">
        <v>18</v>
      </c>
      <c r="E37" s="9" t="s">
        <v>18</v>
      </c>
      <c r="F37" s="9" t="s">
        <v>18</v>
      </c>
      <c r="G37" s="9" t="s">
        <v>18</v>
      </c>
      <c r="H37" s="9" t="s">
        <v>18</v>
      </c>
      <c r="I37" s="9" t="s">
        <v>18</v>
      </c>
      <c r="J37" s="9" t="s">
        <v>18</v>
      </c>
      <c r="K37" s="9" t="s">
        <v>18</v>
      </c>
      <c r="L37" s="9" t="s">
        <v>18</v>
      </c>
      <c r="M37" s="9" t="s">
        <v>18</v>
      </c>
      <c r="N37" s="9" t="s">
        <v>18</v>
      </c>
      <c r="O37" s="9" t="s">
        <v>18</v>
      </c>
      <c r="P37" s="9" t="s">
        <v>18</v>
      </c>
      <c r="Q37" s="10" t="s">
        <v>18</v>
      </c>
    </row>
    <row r="38" spans="1:17" x14ac:dyDescent="0.2">
      <c r="A38" s="11"/>
    </row>
    <row r="39" spans="1:17" x14ac:dyDescent="0.2">
      <c r="A39" s="11"/>
    </row>
    <row r="40" spans="1:17" x14ac:dyDescent="0.2">
      <c r="A40" s="12" t="s">
        <v>31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</sheetData>
  <mergeCells count="1">
    <mergeCell ref="A1:Q1"/>
  </mergeCells>
  <hyperlinks>
    <hyperlink ref="A40" r:id="rId1" xr:uid="{00000000-0004-0000-05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60"/>
  <sheetViews>
    <sheetView zoomScale="133" zoomScaleNormal="133" workbookViewId="0">
      <selection activeCell="J8" sqref="J8"/>
    </sheetView>
  </sheetViews>
  <sheetFormatPr defaultRowHeight="12.75" x14ac:dyDescent="0.2"/>
  <cols>
    <col min="1" max="1" width="3.5703125" style="13" customWidth="1"/>
    <col min="2" max="2" width="20.42578125" style="13" customWidth="1"/>
    <col min="3" max="3" width="10.5703125" style="13" customWidth="1"/>
    <col min="4" max="4" width="10.28515625" style="13" customWidth="1"/>
    <col min="5" max="5" width="7.5703125" style="13" customWidth="1"/>
    <col min="6" max="6" width="11.140625" style="13" customWidth="1"/>
    <col min="7" max="7" width="14.85546875" style="13" customWidth="1"/>
    <col min="8" max="9" width="19.7109375" style="13" customWidth="1"/>
    <col min="10" max="10" width="16.85546875" style="13" customWidth="1"/>
    <col min="11" max="11" width="15.42578125" style="13" customWidth="1"/>
    <col min="12" max="12" width="17.28515625" style="13" customWidth="1"/>
    <col min="13" max="15" width="8.7109375" style="13" customWidth="1"/>
    <col min="16" max="20" width="9.140625" style="13" customWidth="1"/>
    <col min="21" max="1025" width="8.7109375" style="13" customWidth="1"/>
  </cols>
  <sheetData>
    <row r="1" spans="1:6" ht="15.75" x14ac:dyDescent="0.25">
      <c r="A1" s="497" t="s">
        <v>239</v>
      </c>
      <c r="B1" s="497"/>
      <c r="C1" s="497"/>
      <c r="D1" s="497"/>
      <c r="E1" s="497"/>
      <c r="F1" s="497"/>
    </row>
    <row r="2" spans="1:6" ht="18.75" customHeight="1" x14ac:dyDescent="0.2">
      <c r="A2" s="159"/>
      <c r="B2" s="498" t="s">
        <v>287</v>
      </c>
      <c r="C2" s="498"/>
      <c r="D2" s="498"/>
      <c r="E2" s="498"/>
      <c r="F2" s="498"/>
    </row>
    <row r="3" spans="1:6" ht="21" customHeight="1" x14ac:dyDescent="0.2">
      <c r="A3" s="159"/>
      <c r="B3" s="238" t="s">
        <v>34</v>
      </c>
      <c r="C3" s="239"/>
      <c r="D3" s="240"/>
      <c r="E3" s="499" t="s">
        <v>240</v>
      </c>
      <c r="F3" s="499"/>
    </row>
    <row r="4" spans="1:6" x14ac:dyDescent="0.2">
      <c r="A4" s="126"/>
      <c r="B4" s="241" t="s">
        <v>36</v>
      </c>
      <c r="C4" s="242"/>
      <c r="D4" s="243"/>
      <c r="E4" s="243"/>
      <c r="F4" s="244"/>
    </row>
    <row r="5" spans="1:6" ht="19.5" customHeight="1" x14ac:dyDescent="0.2">
      <c r="A5" s="159"/>
      <c r="B5" s="500" t="s">
        <v>37</v>
      </c>
      <c r="C5" s="500"/>
      <c r="D5" s="245" t="s">
        <v>241</v>
      </c>
      <c r="E5" s="246"/>
      <c r="F5" s="247"/>
    </row>
    <row r="6" spans="1:6" ht="12.75" customHeight="1" x14ac:dyDescent="0.2">
      <c r="A6" s="126"/>
      <c r="B6" s="248" t="s">
        <v>242</v>
      </c>
      <c r="C6" s="249"/>
      <c r="D6" s="249"/>
      <c r="E6" s="249"/>
      <c r="F6" s="250"/>
    </row>
    <row r="7" spans="1:6" ht="30.95" customHeight="1" x14ac:dyDescent="0.2">
      <c r="A7" s="126"/>
      <c r="B7" s="501" t="s">
        <v>243</v>
      </c>
      <c r="C7" s="501"/>
      <c r="D7" s="501"/>
      <c r="E7" s="501"/>
      <c r="F7" s="501"/>
    </row>
    <row r="8" spans="1:6" ht="23.25" customHeight="1" x14ac:dyDescent="0.2">
      <c r="A8" s="18"/>
      <c r="B8" s="421" t="s">
        <v>41</v>
      </c>
      <c r="C8" s="421"/>
      <c r="D8" s="421"/>
      <c r="E8" s="421"/>
      <c r="F8" s="421"/>
    </row>
    <row r="9" spans="1:6" x14ac:dyDescent="0.2">
      <c r="A9" s="251">
        <v>1</v>
      </c>
      <c r="B9" s="252" t="s">
        <v>42</v>
      </c>
      <c r="C9" s="253"/>
      <c r="D9" s="253"/>
      <c r="E9" s="253"/>
      <c r="F9" s="254" t="s">
        <v>244</v>
      </c>
    </row>
    <row r="10" spans="1:6" x14ac:dyDescent="0.2">
      <c r="A10" s="251">
        <v>2</v>
      </c>
      <c r="B10" s="252" t="s">
        <v>43</v>
      </c>
      <c r="C10" s="253"/>
      <c r="D10" s="253"/>
      <c r="E10" s="253"/>
      <c r="F10" s="254"/>
    </row>
    <row r="11" spans="1:6" x14ac:dyDescent="0.2">
      <c r="A11" s="251">
        <v>3</v>
      </c>
      <c r="B11" s="255" t="s">
        <v>44</v>
      </c>
      <c r="C11" s="256"/>
      <c r="D11" s="256"/>
      <c r="E11" s="257"/>
      <c r="F11" s="254">
        <v>12</v>
      </c>
    </row>
    <row r="12" spans="1:6" x14ac:dyDescent="0.2">
      <c r="A12" s="251">
        <v>4</v>
      </c>
      <c r="B12" s="255" t="s">
        <v>245</v>
      </c>
      <c r="C12" s="256"/>
      <c r="D12" s="256"/>
      <c r="E12" s="502"/>
      <c r="F12" s="502"/>
    </row>
    <row r="13" spans="1:6" x14ac:dyDescent="0.2">
      <c r="A13" s="251">
        <v>5</v>
      </c>
      <c r="B13" s="258" t="s">
        <v>46</v>
      </c>
      <c r="C13" s="259"/>
      <c r="D13" s="259"/>
      <c r="E13" s="259"/>
      <c r="F13" s="260">
        <v>43101</v>
      </c>
    </row>
    <row r="14" spans="1:6" x14ac:dyDescent="0.2">
      <c r="A14" s="251">
        <v>7</v>
      </c>
      <c r="B14" s="255" t="s">
        <v>48</v>
      </c>
      <c r="C14" s="256"/>
      <c r="D14" s="256"/>
      <c r="E14" s="256"/>
      <c r="F14" s="261"/>
    </row>
    <row r="15" spans="1:6" ht="11.25" customHeight="1" x14ac:dyDescent="0.2">
      <c r="A15" s="262"/>
      <c r="B15" s="259"/>
      <c r="C15" s="259"/>
      <c r="D15" s="259"/>
      <c r="E15" s="259"/>
      <c r="F15" s="259"/>
    </row>
    <row r="16" spans="1:6" s="41" customFormat="1" ht="13.5" customHeight="1" x14ac:dyDescent="0.2">
      <c r="A16" s="263"/>
      <c r="B16" s="259"/>
      <c r="C16" s="264"/>
      <c r="D16" s="264"/>
      <c r="E16" s="264"/>
      <c r="F16" s="264"/>
    </row>
    <row r="17" spans="1:7" s="41" customFormat="1" ht="13.5" customHeight="1" x14ac:dyDescent="0.2">
      <c r="A17" s="503" t="s">
        <v>49</v>
      </c>
      <c r="B17" s="503"/>
      <c r="C17" s="503"/>
      <c r="D17" s="503"/>
      <c r="E17" s="503"/>
      <c r="F17" s="503"/>
    </row>
    <row r="18" spans="1:7" ht="18" customHeight="1" x14ac:dyDescent="0.2">
      <c r="A18" s="43">
        <v>1</v>
      </c>
      <c r="B18" s="504" t="s">
        <v>50</v>
      </c>
      <c r="C18" s="504"/>
      <c r="D18" s="504"/>
      <c r="E18" s="504"/>
      <c r="F18" s="44" t="s">
        <v>51</v>
      </c>
    </row>
    <row r="19" spans="1:7" ht="24.75" customHeight="1" x14ac:dyDescent="0.2">
      <c r="A19" s="45" t="s">
        <v>52</v>
      </c>
      <c r="B19" s="265" t="s">
        <v>246</v>
      </c>
      <c r="C19" s="266"/>
      <c r="D19" s="267" t="s">
        <v>247</v>
      </c>
      <c r="E19" s="268">
        <v>15.22</v>
      </c>
      <c r="F19" s="269"/>
    </row>
    <row r="20" spans="1:7" ht="18" customHeight="1" x14ac:dyDescent="0.2">
      <c r="A20" s="72" t="s">
        <v>56</v>
      </c>
      <c r="B20" s="505" t="s">
        <v>57</v>
      </c>
      <c r="C20" s="505"/>
      <c r="D20" s="505"/>
      <c r="E20" s="270">
        <v>0.3</v>
      </c>
      <c r="F20" s="269"/>
    </row>
    <row r="21" spans="1:7" ht="18" customHeight="1" x14ac:dyDescent="0.2">
      <c r="A21" s="45" t="s">
        <v>58</v>
      </c>
      <c r="B21" s="506" t="s">
        <v>59</v>
      </c>
      <c r="C21" s="506"/>
      <c r="D21" s="506"/>
      <c r="E21" s="506"/>
      <c r="F21" s="269"/>
    </row>
    <row r="22" spans="1:7" ht="18" customHeight="1" x14ac:dyDescent="0.2">
      <c r="A22" s="72" t="s">
        <v>68</v>
      </c>
      <c r="B22" s="507" t="s">
        <v>69</v>
      </c>
      <c r="C22" s="507"/>
      <c r="D22" s="507"/>
      <c r="E22" s="507"/>
      <c r="F22" s="269"/>
    </row>
    <row r="23" spans="1:7" ht="18" customHeight="1" x14ac:dyDescent="0.2">
      <c r="A23" s="68" t="s">
        <v>72</v>
      </c>
      <c r="B23" s="508" t="s">
        <v>75</v>
      </c>
      <c r="C23" s="508"/>
      <c r="D23" s="508"/>
      <c r="E23" s="508"/>
      <c r="F23" s="269"/>
    </row>
    <row r="24" spans="1:7" ht="18" customHeight="1" x14ac:dyDescent="0.2">
      <c r="A24" s="72" t="s">
        <v>74</v>
      </c>
      <c r="B24" s="509" t="s">
        <v>77</v>
      </c>
      <c r="C24" s="509"/>
      <c r="D24" s="509"/>
      <c r="E24" s="509"/>
      <c r="F24" s="271"/>
    </row>
    <row r="25" spans="1:7" ht="18" customHeight="1" x14ac:dyDescent="0.2">
      <c r="A25" s="51"/>
      <c r="B25" s="510" t="s">
        <v>78</v>
      </c>
      <c r="C25" s="510"/>
      <c r="D25" s="510"/>
      <c r="E25" s="510"/>
      <c r="F25" s="272"/>
    </row>
    <row r="26" spans="1:7" ht="26.25" customHeight="1" x14ac:dyDescent="0.2">
      <c r="A26" s="273" t="s">
        <v>248</v>
      </c>
      <c r="B26" s="172"/>
      <c r="C26" s="172"/>
      <c r="D26" s="172"/>
      <c r="E26" s="172"/>
      <c r="F26" s="274"/>
    </row>
    <row r="27" spans="1:7" ht="9.75" customHeight="1" x14ac:dyDescent="0.2">
      <c r="A27" s="275"/>
      <c r="B27" s="275"/>
      <c r="C27" s="275"/>
      <c r="D27" s="275"/>
      <c r="E27" s="275"/>
      <c r="F27" s="276"/>
      <c r="G27" s="78"/>
    </row>
    <row r="28" spans="1:7" ht="20.100000000000001" customHeight="1" x14ac:dyDescent="0.2">
      <c r="A28" s="511" t="s">
        <v>80</v>
      </c>
      <c r="B28" s="511"/>
      <c r="C28" s="511"/>
      <c r="D28" s="511"/>
      <c r="E28" s="511"/>
      <c r="F28" s="511"/>
      <c r="G28" s="277"/>
    </row>
    <row r="29" spans="1:7" ht="23.25" customHeight="1" x14ac:dyDescent="0.2">
      <c r="A29" s="278"/>
      <c r="B29" s="512" t="s">
        <v>81</v>
      </c>
      <c r="C29" s="512"/>
      <c r="D29" s="512"/>
      <c r="E29" s="512"/>
      <c r="F29" s="279"/>
      <c r="G29" s="279" t="s">
        <v>82</v>
      </c>
    </row>
    <row r="30" spans="1:7" ht="18" customHeight="1" x14ac:dyDescent="0.2">
      <c r="A30" s="51" t="s">
        <v>52</v>
      </c>
      <c r="B30" s="513" t="s">
        <v>83</v>
      </c>
      <c r="C30" s="513"/>
      <c r="D30" s="513"/>
      <c r="E30" s="280">
        <v>8.3299999999999999E-2</v>
      </c>
      <c r="F30" s="280">
        <v>8.3299999999999999E-2</v>
      </c>
      <c r="G30" s="90"/>
    </row>
    <row r="31" spans="1:7" s="41" customFormat="1" ht="18" customHeight="1" x14ac:dyDescent="0.2">
      <c r="A31" s="45" t="s">
        <v>56</v>
      </c>
      <c r="B31" s="514" t="s">
        <v>84</v>
      </c>
      <c r="C31" s="514"/>
      <c r="D31" s="514"/>
      <c r="E31" s="282">
        <v>0.1111</v>
      </c>
      <c r="F31" s="282">
        <v>0.121</v>
      </c>
      <c r="G31" s="90"/>
    </row>
    <row r="32" spans="1:7" ht="27.75" customHeight="1" x14ac:dyDescent="0.2">
      <c r="A32" s="283" t="s">
        <v>58</v>
      </c>
      <c r="B32" s="515" t="s">
        <v>85</v>
      </c>
      <c r="C32" s="515"/>
      <c r="D32" s="515"/>
      <c r="E32" s="284">
        <f>(E30+E31)*36.8%</f>
        <v>7.1539200000000011E-2</v>
      </c>
      <c r="F32" s="284">
        <v>7.8200000000000006E-2</v>
      </c>
      <c r="G32" s="90"/>
    </row>
    <row r="33" spans="1:7" ht="18" customHeight="1" x14ac:dyDescent="0.2">
      <c r="A33" s="51"/>
      <c r="B33" s="434" t="s">
        <v>86</v>
      </c>
      <c r="C33" s="434"/>
      <c r="D33" s="434"/>
      <c r="E33" s="285">
        <f>E30+E32+E31</f>
        <v>0.26593920000000004</v>
      </c>
      <c r="F33" s="285">
        <f>F30+F32+F31</f>
        <v>0.28249999999999997</v>
      </c>
      <c r="G33" s="76"/>
    </row>
    <row r="34" spans="1:7" ht="29.25" customHeight="1" x14ac:dyDescent="0.2">
      <c r="A34" s="440" t="s">
        <v>87</v>
      </c>
      <c r="B34" s="440"/>
      <c r="C34" s="440"/>
      <c r="D34" s="440"/>
      <c r="E34" s="440"/>
      <c r="F34" s="440"/>
      <c r="G34" s="440"/>
    </row>
    <row r="35" spans="1:7" ht="29.25" customHeight="1" x14ac:dyDescent="0.2">
      <c r="A35" s="516" t="s">
        <v>249</v>
      </c>
      <c r="B35" s="516"/>
      <c r="C35" s="516"/>
      <c r="D35" s="516"/>
      <c r="E35" s="516"/>
      <c r="F35" s="516"/>
      <c r="G35" s="516"/>
    </row>
    <row r="36" spans="1:7" ht="40.5" customHeight="1" x14ac:dyDescent="0.2">
      <c r="A36" s="440" t="s">
        <v>89</v>
      </c>
      <c r="B36" s="440"/>
      <c r="C36" s="440"/>
      <c r="D36" s="440"/>
      <c r="E36" s="440"/>
      <c r="F36" s="440"/>
      <c r="G36" s="440"/>
    </row>
    <row r="37" spans="1:7" ht="12" customHeight="1" x14ac:dyDescent="0.2">
      <c r="A37" s="286"/>
      <c r="B37" s="287"/>
      <c r="C37" s="287"/>
      <c r="D37" s="287"/>
      <c r="E37" s="288"/>
      <c r="F37" s="289"/>
    </row>
    <row r="38" spans="1:7" ht="27.75" customHeight="1" x14ac:dyDescent="0.2">
      <c r="A38" s="101"/>
      <c r="B38" s="517" t="s">
        <v>250</v>
      </c>
      <c r="C38" s="517"/>
      <c r="D38" s="517"/>
      <c r="E38" s="102" t="s">
        <v>251</v>
      </c>
      <c r="F38" s="290" t="s">
        <v>82</v>
      </c>
    </row>
    <row r="39" spans="1:7" ht="18" customHeight="1" x14ac:dyDescent="0.2">
      <c r="A39" s="45" t="s">
        <v>52</v>
      </c>
      <c r="B39" s="428" t="s">
        <v>252</v>
      </c>
      <c r="C39" s="428"/>
      <c r="D39" s="428"/>
      <c r="E39" s="291">
        <v>0.2</v>
      </c>
      <c r="F39" s="53"/>
    </row>
    <row r="40" spans="1:7" ht="18" customHeight="1" x14ac:dyDescent="0.2">
      <c r="A40" s="45" t="s">
        <v>56</v>
      </c>
      <c r="B40" s="428" t="s">
        <v>253</v>
      </c>
      <c r="C40" s="428"/>
      <c r="D40" s="428"/>
      <c r="E40" s="291">
        <v>1.4999999999999999E-2</v>
      </c>
      <c r="F40" s="53"/>
    </row>
    <row r="41" spans="1:7" ht="18" customHeight="1" x14ac:dyDescent="0.2">
      <c r="A41" s="45" t="s">
        <v>58</v>
      </c>
      <c r="B41" s="428" t="s">
        <v>254</v>
      </c>
      <c r="C41" s="428"/>
      <c r="D41" s="428"/>
      <c r="E41" s="291">
        <v>0.01</v>
      </c>
      <c r="F41" s="53"/>
    </row>
    <row r="42" spans="1:7" ht="18" customHeight="1" x14ac:dyDescent="0.2">
      <c r="A42" s="45" t="s">
        <v>68</v>
      </c>
      <c r="B42" s="428" t="s">
        <v>5</v>
      </c>
      <c r="C42" s="428"/>
      <c r="D42" s="428"/>
      <c r="E42" s="291">
        <v>2E-3</v>
      </c>
      <c r="F42" s="53"/>
    </row>
    <row r="43" spans="1:7" ht="18" customHeight="1" x14ac:dyDescent="0.2">
      <c r="A43" s="45" t="s">
        <v>72</v>
      </c>
      <c r="B43" s="428" t="s">
        <v>255</v>
      </c>
      <c r="C43" s="428"/>
      <c r="D43" s="428"/>
      <c r="E43" s="291">
        <v>2.5000000000000001E-2</v>
      </c>
      <c r="F43" s="53"/>
    </row>
    <row r="44" spans="1:7" ht="18" customHeight="1" x14ac:dyDescent="0.2">
      <c r="A44" s="45" t="s">
        <v>74</v>
      </c>
      <c r="B44" s="428" t="s">
        <v>256</v>
      </c>
      <c r="C44" s="428"/>
      <c r="D44" s="428"/>
      <c r="E44" s="291">
        <v>0.08</v>
      </c>
      <c r="F44" s="53"/>
    </row>
    <row r="45" spans="1:7" ht="18" customHeight="1" x14ac:dyDescent="0.2">
      <c r="A45" s="45" t="s">
        <v>76</v>
      </c>
      <c r="B45" s="292" t="s">
        <v>257</v>
      </c>
      <c r="C45" s="293">
        <v>0.03</v>
      </c>
      <c r="D45" s="294">
        <v>1</v>
      </c>
      <c r="E45" s="291">
        <f>ROUND(C45*D45,2)</f>
        <v>0.03</v>
      </c>
      <c r="F45" s="53"/>
    </row>
    <row r="46" spans="1:7" ht="18" customHeight="1" x14ac:dyDescent="0.2">
      <c r="A46" s="45" t="s">
        <v>100</v>
      </c>
      <c r="B46" s="428" t="s">
        <v>10</v>
      </c>
      <c r="C46" s="428"/>
      <c r="D46" s="428"/>
      <c r="E46" s="291">
        <v>6.0000000000000001E-3</v>
      </c>
      <c r="F46" s="53"/>
    </row>
    <row r="47" spans="1:7" ht="18" customHeight="1" x14ac:dyDescent="0.2">
      <c r="A47" s="51"/>
      <c r="B47" s="434" t="s">
        <v>86</v>
      </c>
      <c r="C47" s="434"/>
      <c r="D47" s="434"/>
      <c r="E47" s="285">
        <f>SUM(E39:E46)</f>
        <v>0.3680000000000001</v>
      </c>
      <c r="F47" s="76"/>
    </row>
    <row r="48" spans="1:7" ht="20.100000000000001" customHeight="1" x14ac:dyDescent="0.2">
      <c r="A48" s="518" t="s">
        <v>258</v>
      </c>
      <c r="B48" s="518"/>
      <c r="C48" s="518"/>
      <c r="D48" s="518"/>
      <c r="E48" s="518"/>
      <c r="F48" s="518"/>
    </row>
    <row r="49" spans="1:6" ht="20.100000000000001" customHeight="1" x14ac:dyDescent="0.2">
      <c r="A49" s="516" t="s">
        <v>259</v>
      </c>
      <c r="B49" s="516"/>
      <c r="C49" s="516"/>
      <c r="D49" s="516"/>
      <c r="E49" s="516"/>
      <c r="F49" s="516"/>
    </row>
    <row r="50" spans="1:6" ht="20.100000000000001" customHeight="1" x14ac:dyDescent="0.2">
      <c r="A50" s="446" t="s">
        <v>104</v>
      </c>
      <c r="B50" s="446"/>
      <c r="C50" s="446"/>
      <c r="D50" s="446"/>
      <c r="E50" s="446"/>
      <c r="F50" s="446"/>
    </row>
    <row r="51" spans="1:6" ht="12" customHeight="1" x14ac:dyDescent="0.2">
      <c r="A51" s="295"/>
      <c r="B51" s="295"/>
      <c r="C51" s="295"/>
      <c r="D51" s="295"/>
      <c r="E51" s="295"/>
      <c r="F51" s="295"/>
    </row>
    <row r="52" spans="1:6" ht="20.100000000000001" customHeight="1" x14ac:dyDescent="0.2">
      <c r="A52" s="102"/>
      <c r="B52" s="296" t="s">
        <v>105</v>
      </c>
      <c r="C52" s="297"/>
      <c r="D52" s="297"/>
      <c r="E52" s="298"/>
      <c r="F52" s="103" t="s">
        <v>82</v>
      </c>
    </row>
    <row r="53" spans="1:6" ht="18" customHeight="1" x14ac:dyDescent="0.2">
      <c r="A53" s="68" t="s">
        <v>52</v>
      </c>
      <c r="B53" s="508" t="s">
        <v>106</v>
      </c>
      <c r="C53" s="508"/>
      <c r="D53" s="508"/>
      <c r="E53" s="508"/>
      <c r="F53" s="53"/>
    </row>
    <row r="54" spans="1:6" ht="18" customHeight="1" x14ac:dyDescent="0.2">
      <c r="A54" s="45" t="s">
        <v>56</v>
      </c>
      <c r="B54" s="519" t="s">
        <v>107</v>
      </c>
      <c r="C54" s="519"/>
      <c r="D54" s="519"/>
      <c r="E54" s="519"/>
      <c r="F54" s="53"/>
    </row>
    <row r="55" spans="1:6" ht="18" customHeight="1" x14ac:dyDescent="0.2">
      <c r="A55" s="45" t="s">
        <v>58</v>
      </c>
      <c r="B55" s="519" t="s">
        <v>108</v>
      </c>
      <c r="C55" s="519"/>
      <c r="D55" s="519"/>
      <c r="E55" s="519"/>
      <c r="F55" s="53"/>
    </row>
    <row r="56" spans="1:6" ht="18" customHeight="1" x14ac:dyDescent="0.2">
      <c r="A56" s="45" t="s">
        <v>68</v>
      </c>
      <c r="B56" s="519" t="s">
        <v>109</v>
      </c>
      <c r="C56" s="519"/>
      <c r="D56" s="519"/>
      <c r="E56" s="519"/>
      <c r="F56" s="53"/>
    </row>
    <row r="57" spans="1:6" ht="18" customHeight="1" x14ac:dyDescent="0.2">
      <c r="A57" s="45" t="s">
        <v>110</v>
      </c>
      <c r="B57" s="520" t="s">
        <v>111</v>
      </c>
      <c r="C57" s="520"/>
      <c r="D57" s="520"/>
      <c r="E57" s="520"/>
      <c r="F57" s="53"/>
    </row>
    <row r="58" spans="1:6" ht="18" customHeight="1" x14ac:dyDescent="0.2">
      <c r="A58" s="72" t="s">
        <v>72</v>
      </c>
      <c r="B58" s="300" t="s">
        <v>260</v>
      </c>
      <c r="C58" s="301"/>
      <c r="D58" s="301"/>
      <c r="E58" s="301"/>
      <c r="F58" s="53"/>
    </row>
    <row r="59" spans="1:6" ht="18" customHeight="1" x14ac:dyDescent="0.2">
      <c r="A59" s="45" t="s">
        <v>74</v>
      </c>
      <c r="B59" s="508" t="s">
        <v>113</v>
      </c>
      <c r="C59" s="508"/>
      <c r="D59" s="508"/>
      <c r="E59" s="508"/>
      <c r="F59" s="53"/>
    </row>
    <row r="60" spans="1:6" ht="18" customHeight="1" x14ac:dyDescent="0.2">
      <c r="A60" s="51"/>
      <c r="B60" s="521" t="s">
        <v>114</v>
      </c>
      <c r="C60" s="521"/>
      <c r="D60" s="521"/>
      <c r="E60" s="521"/>
      <c r="F60" s="76"/>
    </row>
    <row r="61" spans="1:6" ht="20.100000000000001" customHeight="1" x14ac:dyDescent="0.2">
      <c r="A61" s="516" t="s">
        <v>261</v>
      </c>
      <c r="B61" s="516"/>
      <c r="C61" s="516"/>
      <c r="D61" s="516"/>
      <c r="E61" s="516"/>
      <c r="F61" s="516"/>
    </row>
    <row r="62" spans="1:6" ht="20.100000000000001" customHeight="1" x14ac:dyDescent="0.2">
      <c r="A62" s="516" t="s">
        <v>262</v>
      </c>
      <c r="B62" s="516"/>
      <c r="C62" s="516"/>
      <c r="D62" s="516"/>
      <c r="E62" s="516"/>
      <c r="F62" s="516"/>
    </row>
    <row r="63" spans="1:6" ht="11.25" customHeight="1" x14ac:dyDescent="0.2">
      <c r="A63" s="275"/>
      <c r="B63" s="302"/>
      <c r="C63" s="303"/>
      <c r="D63" s="304"/>
      <c r="E63" s="304"/>
      <c r="F63" s="304"/>
    </row>
    <row r="64" spans="1:6" ht="26.45" customHeight="1" x14ac:dyDescent="0.2">
      <c r="A64" s="305">
        <v>2</v>
      </c>
      <c r="B64" s="522" t="s">
        <v>117</v>
      </c>
      <c r="C64" s="522"/>
      <c r="D64" s="522"/>
      <c r="E64" s="522"/>
      <c r="F64" s="125" t="s">
        <v>82</v>
      </c>
    </row>
    <row r="65" spans="1:6" ht="18" customHeight="1" x14ac:dyDescent="0.2">
      <c r="A65" s="306" t="s">
        <v>118</v>
      </c>
      <c r="B65" s="307" t="s">
        <v>119</v>
      </c>
      <c r="C65" s="128"/>
      <c r="D65" s="129"/>
      <c r="E65" s="129"/>
      <c r="F65" s="130"/>
    </row>
    <row r="66" spans="1:6" ht="18" customHeight="1" x14ac:dyDescent="0.2">
      <c r="A66" s="306" t="s">
        <v>120</v>
      </c>
      <c r="B66" s="307" t="s">
        <v>121</v>
      </c>
      <c r="C66" s="128"/>
      <c r="D66" s="129"/>
      <c r="E66" s="129"/>
      <c r="F66" s="130"/>
    </row>
    <row r="67" spans="1:6" ht="18" customHeight="1" x14ac:dyDescent="0.2">
      <c r="A67" s="306" t="s">
        <v>122</v>
      </c>
      <c r="B67" s="307" t="s">
        <v>123</v>
      </c>
      <c r="C67" s="128"/>
      <c r="D67" s="129"/>
      <c r="E67" s="129"/>
      <c r="F67" s="130"/>
    </row>
    <row r="68" spans="1:6" ht="18" customHeight="1" x14ac:dyDescent="0.2">
      <c r="A68" s="306"/>
      <c r="B68" s="523" t="s">
        <v>124</v>
      </c>
      <c r="C68" s="523"/>
      <c r="D68" s="523"/>
      <c r="E68" s="523"/>
      <c r="F68" s="308"/>
    </row>
    <row r="69" spans="1:6" ht="20.100000000000001" customHeight="1" x14ac:dyDescent="0.2">
      <c r="A69" s="275"/>
      <c r="B69" s="302"/>
      <c r="C69" s="303"/>
      <c r="D69" s="304"/>
      <c r="E69" s="304"/>
      <c r="F69" s="304"/>
    </row>
    <row r="70" spans="1:6" ht="20.100000000000001" customHeight="1" x14ac:dyDescent="0.2">
      <c r="A70" s="524" t="s">
        <v>125</v>
      </c>
      <c r="B70" s="524"/>
      <c r="C70" s="524"/>
      <c r="D70" s="524"/>
      <c r="E70" s="524"/>
      <c r="F70" s="524"/>
    </row>
    <row r="71" spans="1:6" ht="20.100000000000001" customHeight="1" x14ac:dyDescent="0.2">
      <c r="A71" s="309">
        <v>3</v>
      </c>
      <c r="B71" s="525" t="s">
        <v>126</v>
      </c>
      <c r="C71" s="525"/>
      <c r="D71" s="525"/>
      <c r="E71" s="525"/>
      <c r="F71" s="311" t="s">
        <v>51</v>
      </c>
    </row>
    <row r="72" spans="1:6" ht="18" customHeight="1" x14ac:dyDescent="0.2">
      <c r="A72" s="72" t="s">
        <v>52</v>
      </c>
      <c r="B72" s="519" t="s">
        <v>127</v>
      </c>
      <c r="C72" s="519"/>
      <c r="D72" s="57"/>
      <c r="E72" s="312">
        <v>4.1999999999999997E-3</v>
      </c>
      <c r="F72" s="53"/>
    </row>
    <row r="73" spans="1:6" ht="18" customHeight="1" x14ac:dyDescent="0.2">
      <c r="A73" s="45" t="s">
        <v>56</v>
      </c>
      <c r="B73" s="526" t="s">
        <v>130</v>
      </c>
      <c r="C73" s="526"/>
      <c r="D73" s="526"/>
      <c r="E73" s="282">
        <f>E44*E72</f>
        <v>3.3599999999999998E-4</v>
      </c>
      <c r="F73" s="53"/>
    </row>
    <row r="74" spans="1:6" ht="18" customHeight="1" x14ac:dyDescent="0.2">
      <c r="A74" s="72" t="s">
        <v>58</v>
      </c>
      <c r="B74" s="505" t="s">
        <v>131</v>
      </c>
      <c r="C74" s="505"/>
      <c r="D74" s="505"/>
      <c r="E74" s="312">
        <f>E73*50%</f>
        <v>1.6799999999999999E-4</v>
      </c>
      <c r="F74" s="53"/>
    </row>
    <row r="75" spans="1:6" ht="18" customHeight="1" x14ac:dyDescent="0.2">
      <c r="A75" s="45" t="s">
        <v>68</v>
      </c>
      <c r="B75" s="526" t="s">
        <v>263</v>
      </c>
      <c r="C75" s="526"/>
      <c r="D75" s="526"/>
      <c r="E75" s="282">
        <v>1.9800000000000002E-2</v>
      </c>
      <c r="F75" s="53"/>
    </row>
    <row r="76" spans="1:6" ht="21.75" customHeight="1" x14ac:dyDescent="0.2">
      <c r="A76" s="68" t="s">
        <v>72</v>
      </c>
      <c r="B76" s="527" t="s">
        <v>264</v>
      </c>
      <c r="C76" s="527"/>
      <c r="D76" s="527"/>
      <c r="E76" s="282">
        <f>(E75)*$E$47</f>
        <v>7.2864000000000028E-3</v>
      </c>
      <c r="F76" s="53"/>
    </row>
    <row r="77" spans="1:6" ht="18" customHeight="1" x14ac:dyDescent="0.2">
      <c r="A77" s="45" t="s">
        <v>74</v>
      </c>
      <c r="B77" s="528" t="s">
        <v>138</v>
      </c>
      <c r="C77" s="528"/>
      <c r="D77" s="528"/>
      <c r="E77" s="291">
        <v>0.05</v>
      </c>
      <c r="F77" s="53"/>
    </row>
    <row r="78" spans="1:6" ht="18" customHeight="1" x14ac:dyDescent="0.2">
      <c r="A78" s="313" t="s">
        <v>76</v>
      </c>
      <c r="B78" s="299" t="s">
        <v>265</v>
      </c>
      <c r="C78" s="314"/>
      <c r="D78" s="315"/>
      <c r="E78" s="316"/>
      <c r="F78" s="53"/>
    </row>
    <row r="79" spans="1:6" ht="18" customHeight="1" x14ac:dyDescent="0.2">
      <c r="A79" s="45"/>
      <c r="B79" s="529" t="s">
        <v>86</v>
      </c>
      <c r="C79" s="529"/>
      <c r="D79" s="529"/>
      <c r="E79" s="173">
        <f>SUM(E72:E78)</f>
        <v>8.1790400000000013E-2</v>
      </c>
      <c r="F79" s="96"/>
    </row>
    <row r="80" spans="1:6" s="41" customFormat="1" ht="12.75" customHeight="1" x14ac:dyDescent="0.2">
      <c r="A80" s="286"/>
      <c r="B80" s="317"/>
      <c r="C80" s="287"/>
      <c r="D80" s="287"/>
      <c r="E80" s="288"/>
      <c r="F80" s="289"/>
    </row>
    <row r="81" spans="1:6" s="41" customFormat="1" ht="20.100000000000001" customHeight="1" x14ac:dyDescent="0.2">
      <c r="A81" s="524" t="s">
        <v>139</v>
      </c>
      <c r="B81" s="524"/>
      <c r="C81" s="524"/>
      <c r="D81" s="524"/>
      <c r="E81" s="524"/>
      <c r="F81" s="524"/>
    </row>
    <row r="82" spans="1:6" s="41" customFormat="1" ht="20.100000000000001" customHeight="1" x14ac:dyDescent="0.2">
      <c r="A82" s="43" t="s">
        <v>160</v>
      </c>
      <c r="B82" s="426" t="s">
        <v>266</v>
      </c>
      <c r="C82" s="426"/>
      <c r="D82" s="426"/>
      <c r="E82" s="426"/>
      <c r="F82" s="44" t="s">
        <v>82</v>
      </c>
    </row>
    <row r="83" spans="1:6" s="41" customFormat="1" ht="41.25" customHeight="1" x14ac:dyDescent="0.2">
      <c r="A83" s="46"/>
      <c r="B83" s="530" t="s">
        <v>267</v>
      </c>
      <c r="C83" s="530"/>
      <c r="D83" s="530"/>
      <c r="E83" s="530"/>
      <c r="F83" s="318"/>
    </row>
    <row r="84" spans="1:6" s="41" customFormat="1" ht="18" customHeight="1" x14ac:dyDescent="0.2">
      <c r="A84" s="68" t="s">
        <v>52</v>
      </c>
      <c r="B84" s="531" t="s">
        <v>142</v>
      </c>
      <c r="C84" s="531"/>
      <c r="D84" s="531"/>
      <c r="E84" s="319">
        <v>1.6199999999999999E-2</v>
      </c>
      <c r="F84" s="148"/>
    </row>
    <row r="85" spans="1:6" s="41" customFormat="1" ht="18" customHeight="1" x14ac:dyDescent="0.2">
      <c r="A85" s="45" t="s">
        <v>56</v>
      </c>
      <c r="B85" s="505" t="s">
        <v>268</v>
      </c>
      <c r="C85" s="505"/>
      <c r="D85" s="505">
        <v>1.4999999999999999E-2</v>
      </c>
      <c r="E85" s="532">
        <f>D86/30/12</f>
        <v>1.3888888888888888E-2</v>
      </c>
      <c r="F85" s="461"/>
    </row>
    <row r="86" spans="1:6" s="41" customFormat="1" ht="18" customHeight="1" x14ac:dyDescent="0.2">
      <c r="A86" s="45"/>
      <c r="B86" s="533" t="s">
        <v>144</v>
      </c>
      <c r="C86" s="533"/>
      <c r="D86" s="320">
        <v>5</v>
      </c>
      <c r="E86" s="532">
        <f>(D87/30)/12</f>
        <v>1.3888888888888888E-2</v>
      </c>
      <c r="F86" s="461"/>
    </row>
    <row r="87" spans="1:6" s="41" customFormat="1" ht="21.75" customHeight="1" x14ac:dyDescent="0.2">
      <c r="A87" s="45" t="s">
        <v>58</v>
      </c>
      <c r="B87" s="527" t="s">
        <v>269</v>
      </c>
      <c r="C87" s="527"/>
      <c r="D87" s="320">
        <v>5</v>
      </c>
      <c r="E87" s="532">
        <f>((D87/30)/12)*D88</f>
        <v>2.0833333333333332E-4</v>
      </c>
      <c r="F87" s="461"/>
    </row>
    <row r="88" spans="1:6" s="41" customFormat="1" ht="18" customHeight="1" x14ac:dyDescent="0.2">
      <c r="A88" s="45"/>
      <c r="B88" s="505" t="s">
        <v>129</v>
      </c>
      <c r="C88" s="505"/>
      <c r="D88" s="293">
        <v>1.4999999999999999E-2</v>
      </c>
      <c r="E88" s="532">
        <f>((D88/30)/12)*D89</f>
        <v>0</v>
      </c>
      <c r="F88" s="461"/>
    </row>
    <row r="89" spans="1:6" s="41" customFormat="1" ht="18" customHeight="1" x14ac:dyDescent="0.2">
      <c r="A89" s="45" t="s">
        <v>68</v>
      </c>
      <c r="B89" s="505" t="s">
        <v>147</v>
      </c>
      <c r="C89" s="505"/>
      <c r="D89" s="505"/>
      <c r="E89" s="532">
        <f>D90/30/12</f>
        <v>8.2222222222222228E-3</v>
      </c>
      <c r="F89" s="461"/>
    </row>
    <row r="90" spans="1:6" s="41" customFormat="1" ht="18" customHeight="1" x14ac:dyDescent="0.2">
      <c r="A90" s="45"/>
      <c r="B90" s="505" t="s">
        <v>144</v>
      </c>
      <c r="C90" s="505"/>
      <c r="D90" s="320">
        <v>2.96</v>
      </c>
      <c r="E90" s="532"/>
      <c r="F90" s="461"/>
    </row>
    <row r="91" spans="1:6" s="41" customFormat="1" ht="24" customHeight="1" x14ac:dyDescent="0.2">
      <c r="A91" s="45" t="s">
        <v>72</v>
      </c>
      <c r="B91" s="515" t="s">
        <v>270</v>
      </c>
      <c r="C91" s="515"/>
      <c r="D91" s="320">
        <v>15</v>
      </c>
      <c r="E91" s="532">
        <f>((D91/30)/12)*D92</f>
        <v>3.2499999999999999E-4</v>
      </c>
      <c r="F91" s="461"/>
    </row>
    <row r="92" spans="1:6" s="41" customFormat="1" ht="24" customHeight="1" x14ac:dyDescent="0.2">
      <c r="A92" s="45"/>
      <c r="B92" s="505" t="s">
        <v>129</v>
      </c>
      <c r="C92" s="505"/>
      <c r="D92" s="293">
        <v>7.7999999999999996E-3</v>
      </c>
      <c r="E92" s="532"/>
      <c r="F92" s="461"/>
    </row>
    <row r="93" spans="1:6" s="41" customFormat="1" ht="18" customHeight="1" x14ac:dyDescent="0.2">
      <c r="A93" s="428" t="s">
        <v>74</v>
      </c>
      <c r="B93" s="505" t="s">
        <v>271</v>
      </c>
      <c r="C93" s="505"/>
      <c r="D93" s="505"/>
      <c r="E93" s="534">
        <v>6.9999999999999999E-4</v>
      </c>
      <c r="F93" s="452"/>
    </row>
    <row r="94" spans="1:6" s="41" customFormat="1" ht="18" customHeight="1" x14ac:dyDescent="0.2">
      <c r="A94" s="428"/>
      <c r="B94" s="45" t="s">
        <v>272</v>
      </c>
      <c r="C94" s="293">
        <v>0.60440000000000005</v>
      </c>
      <c r="D94" s="320">
        <v>4</v>
      </c>
      <c r="E94" s="534"/>
      <c r="F94" s="452"/>
    </row>
    <row r="95" spans="1:6" s="41" customFormat="1" ht="18" customHeight="1" x14ac:dyDescent="0.2">
      <c r="A95" s="45" t="s">
        <v>76</v>
      </c>
      <c r="B95" s="505" t="s">
        <v>77</v>
      </c>
      <c r="C95" s="505"/>
      <c r="D95" s="505"/>
      <c r="E95" s="321"/>
      <c r="F95" s="90"/>
    </row>
    <row r="96" spans="1:6" s="41" customFormat="1" ht="18" customHeight="1" x14ac:dyDescent="0.2">
      <c r="A96" s="45"/>
      <c r="B96" s="519" t="s">
        <v>152</v>
      </c>
      <c r="C96" s="519"/>
      <c r="D96" s="519"/>
      <c r="E96" s="519"/>
      <c r="F96" s="90"/>
    </row>
    <row r="97" spans="1:6" s="41" customFormat="1" ht="26.25" customHeight="1" x14ac:dyDescent="0.2">
      <c r="A97" s="45" t="s">
        <v>100</v>
      </c>
      <c r="B97" s="527" t="s">
        <v>153</v>
      </c>
      <c r="C97" s="527"/>
      <c r="D97" s="527"/>
      <c r="E97" s="322">
        <f>SUM(E84:E95)*E47</f>
        <v>1.9663466666666671E-2</v>
      </c>
      <c r="F97" s="90"/>
    </row>
    <row r="98" spans="1:6" s="41" customFormat="1" ht="18" customHeight="1" x14ac:dyDescent="0.2">
      <c r="A98" s="51"/>
      <c r="B98" s="510" t="s">
        <v>86</v>
      </c>
      <c r="C98" s="510"/>
      <c r="D98" s="510"/>
      <c r="E98" s="323">
        <f>E84+E85+E87+E89+E91+E95+E93+E97</f>
        <v>5.9207911111111115E-2</v>
      </c>
      <c r="F98" s="76"/>
    </row>
    <row r="99" spans="1:6" s="41" customFormat="1" ht="27" customHeight="1" x14ac:dyDescent="0.2">
      <c r="A99" s="516" t="s">
        <v>273</v>
      </c>
      <c r="B99" s="516"/>
      <c r="C99" s="516"/>
      <c r="D99" s="516"/>
      <c r="E99" s="516"/>
      <c r="F99" s="516"/>
    </row>
    <row r="100" spans="1:6" s="41" customFormat="1" ht="15" customHeight="1" x14ac:dyDescent="0.2">
      <c r="A100" s="516" t="s">
        <v>274</v>
      </c>
      <c r="B100" s="516"/>
      <c r="C100" s="516"/>
      <c r="D100" s="516"/>
      <c r="E100" s="516"/>
      <c r="F100" s="516"/>
    </row>
    <row r="101" spans="1:6" s="41" customFormat="1" ht="12" customHeight="1" x14ac:dyDescent="0.2">
      <c r="A101" s="263"/>
      <c r="B101" s="263"/>
      <c r="C101" s="263"/>
      <c r="D101" s="263"/>
      <c r="E101" s="263"/>
      <c r="F101" s="263"/>
    </row>
    <row r="102" spans="1:6" s="41" customFormat="1" ht="20.100000000000001" customHeight="1" x14ac:dyDescent="0.2">
      <c r="A102" s="324"/>
      <c r="B102" s="325" t="s">
        <v>157</v>
      </c>
      <c r="C102" s="326"/>
      <c r="D102" s="326"/>
      <c r="E102" s="327"/>
      <c r="F102" s="290" t="s">
        <v>82</v>
      </c>
    </row>
    <row r="103" spans="1:6" s="41" customFormat="1" ht="20.100000000000001" customHeight="1" x14ac:dyDescent="0.2">
      <c r="A103" s="72" t="s">
        <v>52</v>
      </c>
      <c r="B103" s="328" t="s">
        <v>275</v>
      </c>
      <c r="C103" s="172"/>
      <c r="D103" s="172"/>
      <c r="E103" s="329"/>
      <c r="F103" s="330"/>
    </row>
    <row r="104" spans="1:6" s="41" customFormat="1" ht="20.100000000000001" customHeight="1" x14ac:dyDescent="0.2">
      <c r="A104" s="286"/>
      <c r="B104" s="287"/>
      <c r="C104" s="287"/>
      <c r="D104" s="287"/>
      <c r="E104" s="288"/>
      <c r="F104" s="331"/>
    </row>
    <row r="105" spans="1:6" s="41" customFormat="1" ht="22.5" customHeight="1" x14ac:dyDescent="0.2">
      <c r="A105" s="332">
        <v>4</v>
      </c>
      <c r="B105" s="522" t="s">
        <v>159</v>
      </c>
      <c r="C105" s="522"/>
      <c r="D105" s="522"/>
      <c r="E105" s="522"/>
      <c r="F105" s="169" t="s">
        <v>82</v>
      </c>
    </row>
    <row r="106" spans="1:6" s="41" customFormat="1" ht="20.100000000000001" customHeight="1" x14ac:dyDescent="0.2">
      <c r="A106" s="45" t="s">
        <v>160</v>
      </c>
      <c r="B106" s="301" t="s">
        <v>276</v>
      </c>
      <c r="C106" s="281"/>
      <c r="D106" s="281"/>
      <c r="E106" s="333"/>
      <c r="F106" s="53"/>
    </row>
    <row r="107" spans="1:6" s="41" customFormat="1" ht="20.100000000000001" customHeight="1" x14ac:dyDescent="0.2">
      <c r="A107" s="45" t="s">
        <v>162</v>
      </c>
      <c r="B107" s="301" t="s">
        <v>163</v>
      </c>
      <c r="C107" s="281"/>
      <c r="D107" s="281"/>
      <c r="E107" s="333"/>
      <c r="F107" s="53"/>
    </row>
    <row r="108" spans="1:6" s="41" customFormat="1" ht="20.100000000000001" customHeight="1" x14ac:dyDescent="0.2">
      <c r="A108" s="45"/>
      <c r="B108" s="334" t="s">
        <v>86</v>
      </c>
      <c r="C108" s="172"/>
      <c r="D108" s="172"/>
      <c r="E108" s="173"/>
      <c r="F108" s="96"/>
    </row>
    <row r="109" spans="1:6" s="41" customFormat="1" ht="20.100000000000001" customHeight="1" x14ac:dyDescent="0.2">
      <c r="A109" s="286"/>
      <c r="B109" s="287"/>
      <c r="C109" s="287"/>
      <c r="D109" s="287"/>
      <c r="E109" s="288"/>
      <c r="F109" s="331"/>
    </row>
    <row r="110" spans="1:6" ht="20.100000000000001" customHeight="1" x14ac:dyDescent="0.2">
      <c r="A110" s="503" t="s">
        <v>164</v>
      </c>
      <c r="B110" s="503"/>
      <c r="C110" s="503"/>
      <c r="D110" s="503"/>
      <c r="E110" s="503"/>
      <c r="F110" s="503"/>
    </row>
    <row r="111" spans="1:6" ht="20.100000000000001" customHeight="1" x14ac:dyDescent="0.2">
      <c r="A111" s="43">
        <v>5</v>
      </c>
      <c r="B111" s="426" t="s">
        <v>165</v>
      </c>
      <c r="C111" s="426"/>
      <c r="D111" s="426"/>
      <c r="E111" s="426"/>
      <c r="F111" s="44" t="s">
        <v>51</v>
      </c>
    </row>
    <row r="112" spans="1:6" ht="18" customHeight="1" x14ac:dyDescent="0.2">
      <c r="A112" s="68" t="s">
        <v>52</v>
      </c>
      <c r="B112" s="508" t="s">
        <v>277</v>
      </c>
      <c r="C112" s="508"/>
      <c r="D112" s="508"/>
      <c r="E112" s="508"/>
      <c r="F112" s="53"/>
    </row>
    <row r="113" spans="1:6" ht="18" customHeight="1" x14ac:dyDescent="0.2">
      <c r="A113" s="45" t="s">
        <v>56</v>
      </c>
      <c r="B113" s="519" t="s">
        <v>278</v>
      </c>
      <c r="C113" s="519"/>
      <c r="D113" s="519"/>
      <c r="E113" s="519"/>
      <c r="F113" s="53"/>
    </row>
    <row r="114" spans="1:6" ht="18" customHeight="1" x14ac:dyDescent="0.2">
      <c r="A114" s="45" t="s">
        <v>58</v>
      </c>
      <c r="B114" s="519" t="s">
        <v>279</v>
      </c>
      <c r="C114" s="519"/>
      <c r="D114" s="519"/>
      <c r="E114" s="519"/>
      <c r="F114" s="75"/>
    </row>
    <row r="115" spans="1:6" ht="18" customHeight="1" x14ac:dyDescent="0.2">
      <c r="A115" s="51"/>
      <c r="B115" s="521" t="s">
        <v>124</v>
      </c>
      <c r="C115" s="521"/>
      <c r="D115" s="521"/>
      <c r="E115" s="521"/>
      <c r="F115" s="76"/>
    </row>
    <row r="116" spans="1:6" ht="15.75" customHeight="1" x14ac:dyDescent="0.2">
      <c r="A116" s="515" t="s">
        <v>280</v>
      </c>
      <c r="B116" s="515"/>
      <c r="C116" s="515"/>
      <c r="D116" s="515"/>
      <c r="E116" s="515"/>
      <c r="F116" s="515"/>
    </row>
    <row r="117" spans="1:6" ht="15.75" customHeight="1" x14ac:dyDescent="0.2">
      <c r="A117" s="275"/>
      <c r="B117" s="335"/>
      <c r="C117" s="336"/>
      <c r="D117" s="337"/>
      <c r="E117" s="337"/>
      <c r="F117" s="337"/>
    </row>
    <row r="118" spans="1:6" ht="25.5" customHeight="1" x14ac:dyDescent="0.2">
      <c r="A118" s="535" t="s">
        <v>168</v>
      </c>
      <c r="B118" s="535"/>
      <c r="C118" s="535"/>
      <c r="D118" s="535"/>
      <c r="E118" s="535"/>
      <c r="F118" s="338" t="s">
        <v>169</v>
      </c>
    </row>
    <row r="119" spans="1:6" ht="18" customHeight="1" x14ac:dyDescent="0.2">
      <c r="A119" s="45" t="s">
        <v>52</v>
      </c>
      <c r="B119" s="536" t="s">
        <v>170</v>
      </c>
      <c r="C119" s="536"/>
      <c r="D119" s="536"/>
      <c r="E119" s="536"/>
      <c r="F119" s="176"/>
    </row>
    <row r="120" spans="1:6" ht="18" customHeight="1" x14ac:dyDescent="0.2">
      <c r="A120" s="45" t="s">
        <v>56</v>
      </c>
      <c r="B120" s="536" t="s">
        <v>80</v>
      </c>
      <c r="C120" s="536"/>
      <c r="D120" s="536"/>
      <c r="E120" s="536"/>
      <c r="F120" s="176"/>
    </row>
    <row r="121" spans="1:6" ht="18" customHeight="1" x14ac:dyDescent="0.2">
      <c r="A121" s="45" t="s">
        <v>58</v>
      </c>
      <c r="B121" s="536" t="s">
        <v>171</v>
      </c>
      <c r="C121" s="536"/>
      <c r="D121" s="536"/>
      <c r="E121" s="536"/>
      <c r="F121" s="176"/>
    </row>
    <row r="122" spans="1:6" ht="18" customHeight="1" x14ac:dyDescent="0.2">
      <c r="A122" s="45" t="s">
        <v>68</v>
      </c>
      <c r="B122" s="537" t="s">
        <v>139</v>
      </c>
      <c r="C122" s="537"/>
      <c r="D122" s="537"/>
      <c r="E122" s="537"/>
      <c r="F122" s="176"/>
    </row>
    <row r="123" spans="1:6" ht="18" customHeight="1" x14ac:dyDescent="0.2">
      <c r="A123" s="45" t="s">
        <v>72</v>
      </c>
      <c r="B123" s="536" t="s">
        <v>164</v>
      </c>
      <c r="C123" s="536"/>
      <c r="D123" s="536"/>
      <c r="E123" s="536"/>
      <c r="F123" s="176"/>
    </row>
    <row r="124" spans="1:6" ht="18" customHeight="1" x14ac:dyDescent="0.2">
      <c r="A124" s="45"/>
      <c r="B124" s="538" t="s">
        <v>172</v>
      </c>
      <c r="C124" s="538"/>
      <c r="D124" s="538"/>
      <c r="E124" s="538"/>
      <c r="F124" s="178"/>
    </row>
    <row r="125" spans="1:6" ht="17.25" customHeight="1" x14ac:dyDescent="0.2">
      <c r="A125" s="275"/>
      <c r="B125" s="335"/>
      <c r="C125" s="336"/>
      <c r="D125" s="337"/>
      <c r="E125" s="337"/>
      <c r="F125" s="337"/>
    </row>
    <row r="126" spans="1:6" ht="23.25" customHeight="1" x14ac:dyDescent="0.2">
      <c r="A126" s="503" t="s">
        <v>281</v>
      </c>
      <c r="B126" s="503"/>
      <c r="C126" s="503"/>
      <c r="D126" s="503"/>
      <c r="E126" s="503"/>
      <c r="F126" s="503"/>
    </row>
    <row r="127" spans="1:6" ht="23.25" customHeight="1" x14ac:dyDescent="0.2">
      <c r="A127" s="43">
        <v>5</v>
      </c>
      <c r="B127" s="426" t="s">
        <v>174</v>
      </c>
      <c r="C127" s="426"/>
      <c r="D127" s="426"/>
      <c r="E127" s="43" t="s">
        <v>175</v>
      </c>
      <c r="F127" s="310" t="s">
        <v>51</v>
      </c>
    </row>
    <row r="128" spans="1:6" ht="18" customHeight="1" x14ac:dyDescent="0.2">
      <c r="A128" s="45" t="s">
        <v>52</v>
      </c>
      <c r="B128" s="428" t="s">
        <v>176</v>
      </c>
      <c r="C128" s="428"/>
      <c r="D128" s="428"/>
      <c r="E128" s="339">
        <v>0.06</v>
      </c>
      <c r="F128" s="340"/>
    </row>
    <row r="129" spans="1:6" ht="18" customHeight="1" x14ac:dyDescent="0.2">
      <c r="A129" s="45" t="s">
        <v>56</v>
      </c>
      <c r="B129" s="428" t="s">
        <v>177</v>
      </c>
      <c r="C129" s="428"/>
      <c r="D129" s="428"/>
      <c r="E129" s="339">
        <v>6.7900000000000002E-2</v>
      </c>
      <c r="F129" s="340"/>
    </row>
    <row r="130" spans="1:6" ht="18" customHeight="1" x14ac:dyDescent="0.2">
      <c r="A130" s="428" t="s">
        <v>58</v>
      </c>
      <c r="B130" s="428" t="s">
        <v>178</v>
      </c>
      <c r="C130" s="428"/>
      <c r="D130" s="428"/>
      <c r="E130" s="539">
        <f>SUM(D131:D134)</f>
        <v>8.6499999999999994E-2</v>
      </c>
      <c r="F130" s="540"/>
    </row>
    <row r="131" spans="1:6" ht="18" customHeight="1" x14ac:dyDescent="0.2">
      <c r="A131" s="428"/>
      <c r="B131" s="541" t="s">
        <v>179</v>
      </c>
      <c r="C131" s="541"/>
      <c r="D131" s="341">
        <v>6.4999999999999997E-3</v>
      </c>
      <c r="E131" s="539"/>
      <c r="F131" s="540"/>
    </row>
    <row r="132" spans="1:6" ht="18" customHeight="1" x14ac:dyDescent="0.2">
      <c r="A132" s="428"/>
      <c r="B132" s="541"/>
      <c r="C132" s="541"/>
      <c r="D132" s="341">
        <v>0.03</v>
      </c>
      <c r="E132" s="539"/>
      <c r="F132" s="540"/>
    </row>
    <row r="133" spans="1:6" ht="18" customHeight="1" x14ac:dyDescent="0.2">
      <c r="A133" s="428"/>
      <c r="B133" s="541" t="s">
        <v>182</v>
      </c>
      <c r="C133" s="541"/>
      <c r="D133" s="342"/>
      <c r="E133" s="539"/>
      <c r="F133" s="540"/>
    </row>
    <row r="134" spans="1:6" ht="18" customHeight="1" x14ac:dyDescent="0.2">
      <c r="A134" s="428"/>
      <c r="B134" s="541" t="s">
        <v>183</v>
      </c>
      <c r="C134" s="541"/>
      <c r="D134" s="341">
        <v>0.05</v>
      </c>
      <c r="E134" s="539"/>
      <c r="F134" s="540"/>
    </row>
    <row r="135" spans="1:6" ht="15.75" customHeight="1" x14ac:dyDescent="0.2">
      <c r="A135" s="51"/>
      <c r="B135" s="510" t="s">
        <v>86</v>
      </c>
      <c r="C135" s="510"/>
      <c r="D135" s="510"/>
      <c r="E135" s="510"/>
      <c r="F135" s="343"/>
    </row>
    <row r="136" spans="1:6" ht="19.5" customHeight="1" x14ac:dyDescent="0.2">
      <c r="A136" s="515" t="s">
        <v>282</v>
      </c>
      <c r="B136" s="515"/>
      <c r="C136" s="515"/>
      <c r="D136" s="515"/>
      <c r="E136" s="515"/>
      <c r="F136" s="515"/>
    </row>
    <row r="137" spans="1:6" ht="24" customHeight="1" x14ac:dyDescent="0.2">
      <c r="A137" s="542" t="s">
        <v>283</v>
      </c>
      <c r="B137" s="542"/>
      <c r="C137" s="542"/>
      <c r="D137" s="542"/>
      <c r="E137" s="542"/>
      <c r="F137" s="542"/>
    </row>
    <row r="138" spans="1:6" x14ac:dyDescent="0.2">
      <c r="A138" s="543" t="s">
        <v>284</v>
      </c>
      <c r="B138" s="543"/>
      <c r="C138" s="543"/>
      <c r="D138" s="543"/>
      <c r="E138" s="543"/>
      <c r="F138" s="543"/>
    </row>
    <row r="139" spans="1:6" ht="24.75" customHeight="1" x14ac:dyDescent="0.2">
      <c r="A139" s="544" t="s">
        <v>187</v>
      </c>
      <c r="B139" s="544"/>
      <c r="C139" s="544"/>
      <c r="D139" s="544"/>
      <c r="E139" s="544"/>
      <c r="F139" s="544"/>
    </row>
    <row r="140" spans="1:6" x14ac:dyDescent="0.2">
      <c r="A140" s="545" t="s">
        <v>188</v>
      </c>
      <c r="B140" s="545"/>
      <c r="C140" s="545"/>
      <c r="D140" s="545"/>
      <c r="E140" s="545"/>
      <c r="F140" s="344" t="s">
        <v>169</v>
      </c>
    </row>
    <row r="141" spans="1:6" x14ac:dyDescent="0.2">
      <c r="A141" s="68" t="s">
        <v>52</v>
      </c>
      <c r="B141" s="508" t="s">
        <v>170</v>
      </c>
      <c r="C141" s="508"/>
      <c r="D141" s="508"/>
      <c r="E141" s="508"/>
      <c r="F141" s="345"/>
    </row>
    <row r="142" spans="1:6" x14ac:dyDescent="0.2">
      <c r="A142" s="45" t="s">
        <v>56</v>
      </c>
      <c r="B142" s="519" t="s">
        <v>80</v>
      </c>
      <c r="C142" s="519"/>
      <c r="D142" s="519"/>
      <c r="E142" s="519"/>
      <c r="F142" s="346"/>
    </row>
    <row r="143" spans="1:6" x14ac:dyDescent="0.2">
      <c r="A143" s="45" t="s">
        <v>58</v>
      </c>
      <c r="B143" s="519" t="s">
        <v>171</v>
      </c>
      <c r="C143" s="519"/>
      <c r="D143" s="519"/>
      <c r="E143" s="519"/>
      <c r="F143" s="346"/>
    </row>
    <row r="144" spans="1:6" x14ac:dyDescent="0.2">
      <c r="A144" s="45" t="s">
        <v>68</v>
      </c>
      <c r="B144" s="520" t="s">
        <v>139</v>
      </c>
      <c r="C144" s="520"/>
      <c r="D144" s="520"/>
      <c r="E144" s="520"/>
      <c r="F144" s="346"/>
    </row>
    <row r="145" spans="1:6" x14ac:dyDescent="0.2">
      <c r="A145" s="45"/>
      <c r="B145" s="519" t="s">
        <v>164</v>
      </c>
      <c r="C145" s="519"/>
      <c r="D145" s="519"/>
      <c r="E145" s="519"/>
      <c r="F145" s="346"/>
    </row>
    <row r="146" spans="1:6" x14ac:dyDescent="0.2">
      <c r="A146" s="45" t="s">
        <v>72</v>
      </c>
      <c r="B146" s="519" t="s">
        <v>189</v>
      </c>
      <c r="C146" s="519"/>
      <c r="D146" s="519"/>
      <c r="E146" s="519"/>
      <c r="F146" s="346"/>
    </row>
    <row r="147" spans="1:6" ht="18" customHeight="1" x14ac:dyDescent="0.2">
      <c r="A147" s="347"/>
      <c r="B147" s="546" t="s">
        <v>190</v>
      </c>
      <c r="C147" s="546"/>
      <c r="D147" s="546"/>
      <c r="E147" s="546"/>
      <c r="F147" s="348"/>
    </row>
    <row r="148" spans="1:6" ht="15.75" customHeight="1" x14ac:dyDescent="0.2">
      <c r="A148" s="547" t="s">
        <v>191</v>
      </c>
      <c r="B148" s="547"/>
      <c r="C148" s="547"/>
      <c r="D148" s="547"/>
      <c r="E148" s="547"/>
      <c r="F148" s="348"/>
    </row>
    <row r="149" spans="1:6" x14ac:dyDescent="0.2">
      <c r="A149" s="349"/>
      <c r="B149" s="548" t="s">
        <v>192</v>
      </c>
      <c r="C149" s="548"/>
      <c r="D149" s="548"/>
      <c r="E149" s="548"/>
      <c r="F149" s="350"/>
    </row>
    <row r="150" spans="1:6" x14ac:dyDescent="0.2">
      <c r="A150" s="351"/>
      <c r="B150" s="549" t="s">
        <v>193</v>
      </c>
      <c r="C150" s="549"/>
      <c r="D150" s="549"/>
      <c r="E150" s="549"/>
      <c r="F150" s="352"/>
    </row>
    <row r="151" spans="1:6" x14ac:dyDescent="0.2">
      <c r="A151" s="550"/>
      <c r="B151" s="550"/>
      <c r="C151" s="550"/>
      <c r="D151" s="550" t="e">
        <f>#REF!</f>
        <v>#REF!</v>
      </c>
      <c r="E151" s="550"/>
      <c r="F151" s="550"/>
    </row>
    <row r="152" spans="1:6" ht="23.25" customHeight="1" x14ac:dyDescent="0.2">
      <c r="A152" s="353"/>
      <c r="B152" s="427" t="s">
        <v>285</v>
      </c>
      <c r="C152" s="427"/>
      <c r="D152" s="427"/>
      <c r="E152" s="427"/>
      <c r="F152" s="427"/>
    </row>
    <row r="153" spans="1:6" x14ac:dyDescent="0.2">
      <c r="A153" s="353"/>
      <c r="B153" s="428" t="s">
        <v>194</v>
      </c>
      <c r="C153" s="428"/>
      <c r="D153" s="552">
        <f>F25</f>
        <v>0</v>
      </c>
      <c r="E153" s="552"/>
      <c r="F153" s="45" t="s">
        <v>286</v>
      </c>
    </row>
    <row r="154" spans="1:6" x14ac:dyDescent="0.2">
      <c r="A154" s="353"/>
      <c r="B154" s="428" t="s">
        <v>195</v>
      </c>
      <c r="C154" s="428"/>
      <c r="D154" s="551">
        <v>8.3299999999999999E-2</v>
      </c>
      <c r="E154" s="551"/>
      <c r="F154" s="45"/>
    </row>
    <row r="155" spans="1:6" x14ac:dyDescent="0.2">
      <c r="A155" s="353"/>
      <c r="B155" s="428" t="s">
        <v>196</v>
      </c>
      <c r="C155" s="428"/>
      <c r="D155" s="553">
        <v>0.121</v>
      </c>
      <c r="E155" s="553"/>
      <c r="F155" s="45"/>
    </row>
    <row r="156" spans="1:6" ht="24.6" customHeight="1" x14ac:dyDescent="0.2">
      <c r="A156" s="353"/>
      <c r="B156" s="515" t="s">
        <v>197</v>
      </c>
      <c r="C156" s="515"/>
      <c r="D156" s="553">
        <v>7.8200000000000006E-2</v>
      </c>
      <c r="E156" s="553"/>
      <c r="F156" s="45"/>
    </row>
    <row r="157" spans="1:6" x14ac:dyDescent="0.2">
      <c r="A157" s="353"/>
      <c r="B157" s="428" t="s">
        <v>198</v>
      </c>
      <c r="C157" s="428"/>
      <c r="D157" s="551">
        <v>0.05</v>
      </c>
      <c r="E157" s="551"/>
      <c r="F157" s="45"/>
    </row>
    <row r="158" spans="1:6" x14ac:dyDescent="0.2">
      <c r="A158" s="353"/>
      <c r="B158" s="428" t="s">
        <v>199</v>
      </c>
      <c r="C158" s="428"/>
      <c r="D158" s="551">
        <f>SUM(D154:D157)</f>
        <v>0.33249999999999996</v>
      </c>
      <c r="E158" s="551"/>
      <c r="F158" s="45"/>
    </row>
    <row r="159" spans="1:6" x14ac:dyDescent="0.2">
      <c r="A159" s="353"/>
      <c r="B159" s="428" t="s">
        <v>200</v>
      </c>
      <c r="C159" s="428"/>
      <c r="D159" s="428"/>
      <c r="E159" s="428"/>
      <c r="F159" s="45"/>
    </row>
    <row r="160" spans="1:6" x14ac:dyDescent="0.2">
      <c r="A160" s="353"/>
      <c r="B160" s="428" t="s">
        <v>201</v>
      </c>
      <c r="C160" s="428"/>
      <c r="D160" s="428"/>
      <c r="E160" s="428"/>
      <c r="F160" s="45"/>
    </row>
  </sheetData>
  <mergeCells count="144">
    <mergeCell ref="B158:C158"/>
    <mergeCell ref="D158:E158"/>
    <mergeCell ref="B159:E159"/>
    <mergeCell ref="B160:E160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44:E144"/>
    <mergeCell ref="B145:E145"/>
    <mergeCell ref="B146:E146"/>
    <mergeCell ref="B147:E147"/>
    <mergeCell ref="A148:E148"/>
    <mergeCell ref="B149:E149"/>
    <mergeCell ref="B150:E150"/>
    <mergeCell ref="A151:F151"/>
    <mergeCell ref="B152:F152"/>
    <mergeCell ref="B135:E135"/>
    <mergeCell ref="A136:F136"/>
    <mergeCell ref="A137:F137"/>
    <mergeCell ref="A138:F138"/>
    <mergeCell ref="A139:F139"/>
    <mergeCell ref="A140:E140"/>
    <mergeCell ref="B141:E141"/>
    <mergeCell ref="B142:E142"/>
    <mergeCell ref="B143:E143"/>
    <mergeCell ref="B128:D128"/>
    <mergeCell ref="B129:D129"/>
    <mergeCell ref="A130:A134"/>
    <mergeCell ref="B130:D130"/>
    <mergeCell ref="E130:E134"/>
    <mergeCell ref="F130:F134"/>
    <mergeCell ref="B131:C132"/>
    <mergeCell ref="B133:C133"/>
    <mergeCell ref="B134:C134"/>
    <mergeCell ref="A118:E118"/>
    <mergeCell ref="B119:E119"/>
    <mergeCell ref="B120:E120"/>
    <mergeCell ref="B121:E121"/>
    <mergeCell ref="B122:E122"/>
    <mergeCell ref="B123:E123"/>
    <mergeCell ref="B124:E124"/>
    <mergeCell ref="A126:F126"/>
    <mergeCell ref="B127:D127"/>
    <mergeCell ref="A100:F100"/>
    <mergeCell ref="B105:E105"/>
    <mergeCell ref="A110:F110"/>
    <mergeCell ref="B111:E111"/>
    <mergeCell ref="B112:E112"/>
    <mergeCell ref="B113:E113"/>
    <mergeCell ref="B114:E114"/>
    <mergeCell ref="B115:E115"/>
    <mergeCell ref="A116:F116"/>
    <mergeCell ref="A93:A94"/>
    <mergeCell ref="B93:D93"/>
    <mergeCell ref="E93:E94"/>
    <mergeCell ref="F93:F94"/>
    <mergeCell ref="B95:D95"/>
    <mergeCell ref="B96:E96"/>
    <mergeCell ref="B97:D97"/>
    <mergeCell ref="B98:D98"/>
    <mergeCell ref="A99:F99"/>
    <mergeCell ref="B87:C87"/>
    <mergeCell ref="E87:E88"/>
    <mergeCell ref="F87:F88"/>
    <mergeCell ref="B88:C88"/>
    <mergeCell ref="B89:D89"/>
    <mergeCell ref="E89:E90"/>
    <mergeCell ref="F89:F90"/>
    <mergeCell ref="B90:C90"/>
    <mergeCell ref="B91:C91"/>
    <mergeCell ref="E91:E92"/>
    <mergeCell ref="F91:F92"/>
    <mergeCell ref="B92:C92"/>
    <mergeCell ref="B77:D77"/>
    <mergeCell ref="B79:D79"/>
    <mergeCell ref="A81:F81"/>
    <mergeCell ref="B82:E82"/>
    <mergeCell ref="B83:E83"/>
    <mergeCell ref="B84:D84"/>
    <mergeCell ref="B85:D85"/>
    <mergeCell ref="E85:E86"/>
    <mergeCell ref="F85:F86"/>
    <mergeCell ref="B86:C86"/>
    <mergeCell ref="B64:E64"/>
    <mergeCell ref="B68:E68"/>
    <mergeCell ref="A70:F70"/>
    <mergeCell ref="B71:E71"/>
    <mergeCell ref="B72:C72"/>
    <mergeCell ref="B73:D73"/>
    <mergeCell ref="B74:D74"/>
    <mergeCell ref="B75:D75"/>
    <mergeCell ref="B76:D76"/>
    <mergeCell ref="B53:E53"/>
    <mergeCell ref="B54:E54"/>
    <mergeCell ref="B55:E55"/>
    <mergeCell ref="B56:E56"/>
    <mergeCell ref="B57:E57"/>
    <mergeCell ref="B59:E59"/>
    <mergeCell ref="B60:E60"/>
    <mergeCell ref="A61:F61"/>
    <mergeCell ref="A62:F62"/>
    <mergeCell ref="B41:D41"/>
    <mergeCell ref="B42:D42"/>
    <mergeCell ref="B43:D43"/>
    <mergeCell ref="B44:D44"/>
    <mergeCell ref="B46:D46"/>
    <mergeCell ref="B47:D47"/>
    <mergeCell ref="A48:F48"/>
    <mergeCell ref="A49:F49"/>
    <mergeCell ref="A50:F50"/>
    <mergeCell ref="B31:D31"/>
    <mergeCell ref="B32:D32"/>
    <mergeCell ref="B33:D33"/>
    <mergeCell ref="A34:G34"/>
    <mergeCell ref="A35:G35"/>
    <mergeCell ref="A36:G36"/>
    <mergeCell ref="B38:D38"/>
    <mergeCell ref="B39:D39"/>
    <mergeCell ref="B40:D40"/>
    <mergeCell ref="B20:D20"/>
    <mergeCell ref="B21:E21"/>
    <mergeCell ref="B22:E22"/>
    <mergeCell ref="B23:E23"/>
    <mergeCell ref="B24:E24"/>
    <mergeCell ref="B25:E25"/>
    <mergeCell ref="A28:F28"/>
    <mergeCell ref="B29:E29"/>
    <mergeCell ref="B30:D30"/>
    <mergeCell ref="A1:F1"/>
    <mergeCell ref="B2:F2"/>
    <mergeCell ref="E3:F3"/>
    <mergeCell ref="B5:C5"/>
    <mergeCell ref="B7:F7"/>
    <mergeCell ref="B8:F8"/>
    <mergeCell ref="E12:F12"/>
    <mergeCell ref="A17:F17"/>
    <mergeCell ref="B18:E18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75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Oficial de Manutenção</vt:lpstr>
      <vt:lpstr>Técnico em Refrigeração</vt:lpstr>
      <vt:lpstr>Aux submod 2.3 -BENEFICIOS OM</vt:lpstr>
      <vt:lpstr>Aux submod 2.3 -BENEFICIOS TR</vt:lpstr>
      <vt:lpstr>aux mod 3- INSUMOS</vt:lpstr>
      <vt:lpstr>TABELA FPAS</vt:lpstr>
      <vt:lpstr> IMPRESSÃO </vt:lpstr>
      <vt:lpstr>' IMPRESSÃO '!Area_de_impressao</vt:lpstr>
      <vt:lpstr>'Oficial de Manutenção'!Area_de_impressao</vt:lpstr>
      <vt:lpstr>' IMPRESSÃO '!Print_Area_0</vt:lpstr>
      <vt:lpstr>'Oficial de Manutenção'!Print_Area_0</vt:lpstr>
    </vt:vector>
  </TitlesOfParts>
  <Company>IFSP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/>
  <dc:creator>RANDAL</dc:creator>
  <cp:lastModifiedBy>Jefferson</cp:lastModifiedBy>
  <cp:revision>8</cp:revision>
  <cp:lastPrinted>2021-05-06T17:47:36Z</cp:lastPrinted>
  <dcterms:created xsi:type="dcterms:W3CDTF">2002-06-10T15:51:10Z</dcterms:created>
  <dcterms:modified xsi:type="dcterms:W3CDTF">2021-05-18T15:19:57Z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McGnity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